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4970" windowHeight="6885"/>
  </bookViews>
  <sheets>
    <sheet name="Financial Analysis Yogurt" sheetId="1" r:id="rId1"/>
    <sheet name="Financial Analysis NH Milk" sheetId="7" r:id="rId2"/>
    <sheet name="Process Capacity" sheetId="5" r:id="rId3"/>
    <sheet name="Sheet1" sheetId="8" state="hidden" r:id="rId4"/>
  </sheets>
  <calcPr calcId="145621"/>
</workbook>
</file>

<file path=xl/calcChain.xml><?xml version="1.0" encoding="utf-8"?>
<calcChain xmlns="http://schemas.openxmlformats.org/spreadsheetml/2006/main">
  <c r="B22" i="8" l="1"/>
  <c r="B24" i="1"/>
  <c r="K16" i="8" l="1"/>
  <c r="C24" i="8"/>
  <c r="D24" i="8" s="1"/>
  <c r="E24" i="8" s="1"/>
  <c r="F24" i="8" s="1"/>
  <c r="G24" i="8" s="1"/>
  <c r="H24" i="8" s="1"/>
  <c r="I24" i="8" s="1"/>
  <c r="C22" i="8"/>
  <c r="D22" i="8" s="1"/>
  <c r="E22" i="8" s="1"/>
  <c r="F22" i="8" s="1"/>
  <c r="G22" i="8" s="1"/>
  <c r="H22" i="8" s="1"/>
  <c r="B42" i="1" l="1"/>
  <c r="C24" i="1"/>
  <c r="D24" i="1" s="1"/>
  <c r="E24" i="1" s="1"/>
  <c r="F24" i="1" s="1"/>
  <c r="G24" i="1" s="1"/>
  <c r="H24" i="1" s="1"/>
  <c r="C7" i="1"/>
  <c r="C10" i="1" s="1"/>
  <c r="C42" i="1" l="1"/>
  <c r="C11" i="1"/>
  <c r="C9" i="1"/>
  <c r="D11" i="1" l="1"/>
  <c r="E11" i="1"/>
  <c r="F11" i="1"/>
  <c r="G11" i="1"/>
  <c r="H11" i="1"/>
  <c r="I11" i="1"/>
  <c r="L15" i="7"/>
  <c r="B26" i="7"/>
  <c r="B46" i="7"/>
  <c r="I23" i="7"/>
  <c r="I14" i="7"/>
  <c r="H14" i="7"/>
  <c r="G14" i="7"/>
  <c r="F14" i="7"/>
  <c r="E14" i="7"/>
  <c r="D14" i="7"/>
  <c r="C14" i="7"/>
  <c r="I12" i="7"/>
  <c r="H12" i="7"/>
  <c r="G12" i="7"/>
  <c r="F12" i="7"/>
  <c r="E12" i="7"/>
  <c r="D12" i="7"/>
  <c r="C12" i="7"/>
  <c r="C25" i="7" s="1"/>
  <c r="D25" i="7" s="1"/>
  <c r="E25" i="7" s="1"/>
  <c r="F25" i="7" s="1"/>
  <c r="G25" i="7" s="1"/>
  <c r="H25" i="7" s="1"/>
  <c r="I25" i="7" s="1"/>
  <c r="D33" i="7" s="1"/>
  <c r="F33" i="7" s="1"/>
  <c r="I46" i="7" s="1"/>
  <c r="C7" i="7"/>
  <c r="D7" i="7" s="1"/>
  <c r="C14" i="1"/>
  <c r="C26" i="1" s="1"/>
  <c r="D14" i="1"/>
  <c r="E14" i="1"/>
  <c r="F14" i="1"/>
  <c r="G14" i="1"/>
  <c r="H14" i="1"/>
  <c r="I14" i="1"/>
  <c r="D10" i="5"/>
  <c r="D12" i="5" s="1"/>
  <c r="K10" i="5"/>
  <c r="K12" i="5" s="1"/>
  <c r="K13" i="5" s="1"/>
  <c r="K16" i="5" s="1"/>
  <c r="J10" i="5"/>
  <c r="J12" i="5" s="1"/>
  <c r="J13" i="5" s="1"/>
  <c r="J16" i="5" s="1"/>
  <c r="I10" i="5"/>
  <c r="I12" i="5" s="1"/>
  <c r="I13" i="5" s="1"/>
  <c r="I16" i="5" s="1"/>
  <c r="H10" i="5"/>
  <c r="H12" i="5" s="1"/>
  <c r="H13" i="5" s="1"/>
  <c r="H16" i="5" s="1"/>
  <c r="G10" i="5"/>
  <c r="G12" i="5" s="1"/>
  <c r="G13" i="5" s="1"/>
  <c r="G16" i="5" s="1"/>
  <c r="F10" i="5"/>
  <c r="F12" i="5" s="1"/>
  <c r="F13" i="5" s="1"/>
  <c r="F16" i="5" s="1"/>
  <c r="E10" i="5"/>
  <c r="E12" i="5" s="1"/>
  <c r="E13" i="5" s="1"/>
  <c r="E16" i="5" s="1"/>
  <c r="B44" i="1"/>
  <c r="L15" i="1" l="1"/>
  <c r="B27" i="1" s="1"/>
  <c r="B45" i="1" s="1"/>
  <c r="C9" i="7"/>
  <c r="B47" i="7"/>
  <c r="F13" i="7"/>
  <c r="F15" i="7" s="1"/>
  <c r="F41" i="7" s="1"/>
  <c r="I13" i="7"/>
  <c r="I15" i="7" s="1"/>
  <c r="I41" i="7" s="1"/>
  <c r="E13" i="7"/>
  <c r="E15" i="7" s="1"/>
  <c r="E41" i="7" s="1"/>
  <c r="H13" i="7"/>
  <c r="H15" i="7" s="1"/>
  <c r="H41" i="7" s="1"/>
  <c r="D13" i="7"/>
  <c r="D15" i="7" s="1"/>
  <c r="D41" i="7" s="1"/>
  <c r="C13" i="7"/>
  <c r="C26" i="7" s="1"/>
  <c r="G13" i="7"/>
  <c r="G15" i="7" s="1"/>
  <c r="G41" i="7" s="1"/>
  <c r="D9" i="7"/>
  <c r="C23" i="7" s="1"/>
  <c r="E7" i="7"/>
  <c r="D13" i="5"/>
  <c r="F17" i="5"/>
  <c r="K17" i="5"/>
  <c r="H17" i="5"/>
  <c r="J17" i="5"/>
  <c r="G17" i="5"/>
  <c r="E17" i="5"/>
  <c r="I17" i="5"/>
  <c r="D7" i="1"/>
  <c r="D9" i="1" l="1"/>
  <c r="D10" i="1"/>
  <c r="C12" i="1"/>
  <c r="B23" i="7"/>
  <c r="B44" i="7" s="1"/>
  <c r="B51" i="7" s="1"/>
  <c r="C15" i="1"/>
  <c r="I15" i="1"/>
  <c r="I16" i="1" s="1"/>
  <c r="I39" i="1" s="1"/>
  <c r="H15" i="1"/>
  <c r="H16" i="1" s="1"/>
  <c r="H39" i="1" s="1"/>
  <c r="G15" i="1"/>
  <c r="G16" i="1" s="1"/>
  <c r="G39" i="1" s="1"/>
  <c r="E15" i="1"/>
  <c r="E16" i="1" s="1"/>
  <c r="E39" i="1" s="1"/>
  <c r="D15" i="1"/>
  <c r="D16" i="1" s="1"/>
  <c r="D39" i="1" s="1"/>
  <c r="B48" i="1"/>
  <c r="F15" i="1"/>
  <c r="F16" i="1" s="1"/>
  <c r="F39" i="1" s="1"/>
  <c r="D26" i="7"/>
  <c r="E26" i="7" s="1"/>
  <c r="F26" i="7" s="1"/>
  <c r="G26" i="7" s="1"/>
  <c r="H26" i="7" s="1"/>
  <c r="I26" i="7" s="1"/>
  <c r="D34" i="7" s="1"/>
  <c r="F34" i="7" s="1"/>
  <c r="I47" i="7" s="1"/>
  <c r="D16" i="7"/>
  <c r="D17" i="7" s="1"/>
  <c r="D42" i="7" s="1"/>
  <c r="E9" i="7"/>
  <c r="D23" i="7" s="1"/>
  <c r="D44" i="7" s="1"/>
  <c r="F7" i="7"/>
  <c r="C15" i="7"/>
  <c r="D16" i="5"/>
  <c r="E7" i="1"/>
  <c r="D26" i="1"/>
  <c r="E26" i="1" s="1"/>
  <c r="F26" i="1" s="1"/>
  <c r="G26" i="1" s="1"/>
  <c r="H26" i="1" s="1"/>
  <c r="I26" i="1" s="1"/>
  <c r="C27" i="1" l="1"/>
  <c r="D27" i="1" s="1"/>
  <c r="E27" i="1" s="1"/>
  <c r="F27" i="1" s="1"/>
  <c r="G27" i="1" s="1"/>
  <c r="H27" i="1" s="1"/>
  <c r="I27" i="1" s="1"/>
  <c r="D34" i="1" s="1"/>
  <c r="F34" i="1" s="1"/>
  <c r="I45" i="1" s="1"/>
  <c r="C16" i="1"/>
  <c r="C17" i="1" s="1"/>
  <c r="C18" i="1" s="1"/>
  <c r="D12" i="1"/>
  <c r="D17" i="1" s="1"/>
  <c r="D18" i="1" s="1"/>
  <c r="D19" i="1" s="1"/>
  <c r="E10" i="1"/>
  <c r="E9" i="1"/>
  <c r="C44" i="7"/>
  <c r="D40" i="7"/>
  <c r="D43" i="7" s="1"/>
  <c r="D51" i="7" s="1"/>
  <c r="C41" i="7"/>
  <c r="C16" i="7"/>
  <c r="F9" i="7"/>
  <c r="E23" i="7" s="1"/>
  <c r="E44" i="7" s="1"/>
  <c r="G7" i="7"/>
  <c r="D18" i="7"/>
  <c r="E16" i="7"/>
  <c r="D33" i="1"/>
  <c r="F33" i="1" s="1"/>
  <c r="I44" i="1" s="1"/>
  <c r="D17" i="5"/>
  <c r="C20" i="5" s="1"/>
  <c r="C21" i="5" s="1"/>
  <c r="F7" i="1"/>
  <c r="E12" i="1" l="1"/>
  <c r="F10" i="1"/>
  <c r="F9" i="1"/>
  <c r="D42" i="1"/>
  <c r="C39" i="1"/>
  <c r="C38" i="1"/>
  <c r="C19" i="1"/>
  <c r="E17" i="7"/>
  <c r="E42" i="7" s="1"/>
  <c r="E40" i="7"/>
  <c r="F16" i="7"/>
  <c r="C40" i="7"/>
  <c r="C17" i="7"/>
  <c r="C42" i="7" s="1"/>
  <c r="H7" i="7"/>
  <c r="G9" i="7"/>
  <c r="F23" i="7" s="1"/>
  <c r="F44" i="7" s="1"/>
  <c r="D40" i="1"/>
  <c r="G7" i="1"/>
  <c r="D38" i="1"/>
  <c r="E17" i="1" l="1"/>
  <c r="E18" i="1" s="1"/>
  <c r="E19" i="1" s="1"/>
  <c r="F12" i="1"/>
  <c r="F17" i="1" s="1"/>
  <c r="F18" i="1" s="1"/>
  <c r="G10" i="1"/>
  <c r="G9" i="1"/>
  <c r="G16" i="7"/>
  <c r="C43" i="7"/>
  <c r="C51" i="7" s="1"/>
  <c r="C18" i="7"/>
  <c r="E43" i="7"/>
  <c r="E51" i="7" s="1"/>
  <c r="G40" i="7"/>
  <c r="G17" i="7"/>
  <c r="G42" i="7" s="1"/>
  <c r="I7" i="7"/>
  <c r="H9" i="7"/>
  <c r="G23" i="7" s="1"/>
  <c r="G44" i="7" s="1"/>
  <c r="F17" i="7"/>
  <c r="F42" i="7" s="1"/>
  <c r="F40" i="7"/>
  <c r="E18" i="7"/>
  <c r="E42" i="1"/>
  <c r="C40" i="1"/>
  <c r="C41" i="1" s="1"/>
  <c r="C48" i="1" s="1"/>
  <c r="D41" i="1"/>
  <c r="D48" i="1" s="1"/>
  <c r="H7" i="1"/>
  <c r="E40" i="1" l="1"/>
  <c r="E38" i="1"/>
  <c r="G12" i="1"/>
  <c r="G17" i="1" s="1"/>
  <c r="G18" i="1" s="1"/>
  <c r="H9" i="1"/>
  <c r="H10" i="1"/>
  <c r="F40" i="1"/>
  <c r="F38" i="1"/>
  <c r="G18" i="7"/>
  <c r="G43" i="7"/>
  <c r="G51" i="7" s="1"/>
  <c r="F43" i="7"/>
  <c r="F51" i="7" s="1"/>
  <c r="H16" i="7"/>
  <c r="I9" i="7"/>
  <c r="H23" i="7" s="1"/>
  <c r="F18" i="7"/>
  <c r="F42" i="1"/>
  <c r="I7" i="1"/>
  <c r="E41" i="1" l="1"/>
  <c r="E48" i="1" s="1"/>
  <c r="I9" i="1"/>
  <c r="I10" i="1"/>
  <c r="H12" i="1"/>
  <c r="H17" i="1" s="1"/>
  <c r="H18" i="1" s="1"/>
  <c r="F19" i="1"/>
  <c r="G38" i="1"/>
  <c r="G40" i="1"/>
  <c r="I16" i="7"/>
  <c r="H40" i="7"/>
  <c r="H17" i="7"/>
  <c r="H42" i="7" s="1"/>
  <c r="H44" i="7"/>
  <c r="I44" i="7"/>
  <c r="G42" i="1"/>
  <c r="F41" i="1"/>
  <c r="F48" i="1" s="1"/>
  <c r="I12" i="1" l="1"/>
  <c r="H38" i="1"/>
  <c r="H40" i="1"/>
  <c r="G41" i="1"/>
  <c r="G48" i="1" s="1"/>
  <c r="H18" i="7"/>
  <c r="H43" i="7"/>
  <c r="H51" i="7" s="1"/>
  <c r="I40" i="7"/>
  <c r="I17" i="7"/>
  <c r="I42" i="7" s="1"/>
  <c r="G19" i="1"/>
  <c r="I17" i="1" l="1"/>
  <c r="I18" i="1" s="1"/>
  <c r="I19" i="1" s="1"/>
  <c r="H19" i="1"/>
  <c r="A55" i="7"/>
  <c r="H41" i="1"/>
  <c r="I43" i="7"/>
  <c r="I51" i="7" s="1"/>
  <c r="I18" i="7"/>
  <c r="H42" i="1"/>
  <c r="I42" i="1"/>
  <c r="I38" i="1" l="1"/>
  <c r="H48" i="1"/>
  <c r="I40" i="1"/>
  <c r="A57" i="7"/>
  <c r="A53" i="7"/>
  <c r="I41" i="1" l="1"/>
  <c r="I48" i="1" s="1"/>
  <c r="L24" i="1" s="1"/>
  <c r="L23" i="1" l="1"/>
  <c r="L25" i="1"/>
</calcChain>
</file>

<file path=xl/sharedStrings.xml><?xml version="1.0" encoding="utf-8"?>
<sst xmlns="http://schemas.openxmlformats.org/spreadsheetml/2006/main" count="204" uniqueCount="96">
  <si>
    <t>$</t>
  </si>
  <si>
    <t>Total Costs</t>
  </si>
  <si>
    <t>Year</t>
  </si>
  <si>
    <t>MACRS Depreciation percentages</t>
  </si>
  <si>
    <t>Pro Forma Income Statement ($ mil)</t>
  </si>
  <si>
    <t>Sales</t>
  </si>
  <si>
    <t>− Costs</t>
  </si>
  <si>
    <t>− Depreciation</t>
  </si>
  <si>
    <t>New Equipment</t>
  </si>
  <si>
    <t>Old Equipment</t>
  </si>
  <si>
    <t>Total Dep</t>
  </si>
  <si>
    <t>=EBIT</t>
  </si>
  <si>
    <t>= Net Income</t>
  </si>
  <si>
    <t>Net Working Capital</t>
  </si>
  <si>
    <t>Net Fixed Assets</t>
  </si>
  <si>
    <t>Memo: After-tax Cash Flow, ATCF = MV - (MV - BV)T</t>
  </si>
  <si>
    <t>MV</t>
  </si>
  <si>
    <t>BV</t>
  </si>
  <si>
    <t>T</t>
  </si>
  <si>
    <t>ATCF</t>
  </si>
  <si>
    <t>Project Cash Flow ($ mil)</t>
  </si>
  <si>
    <t>EBIT</t>
  </si>
  <si>
    <t>+ Depreciation</t>
  </si>
  <si>
    <t xml:space="preserve"> – Tax</t>
  </si>
  <si>
    <t xml:space="preserve"> = OCF</t>
  </si>
  <si>
    <t xml:space="preserve"> – increase in NWC</t>
  </si>
  <si>
    <t xml:space="preserve"> – Net capital spending</t>
  </si>
  <si>
    <t>Project Cash Flow</t>
  </si>
  <si>
    <t>PI</t>
  </si>
  <si>
    <t>IRR</t>
  </si>
  <si>
    <t>Gallons of Yogurt Produced 1st year</t>
  </si>
  <si>
    <t>Price of Yogurt per gallon</t>
  </si>
  <si>
    <t>Sales growth rate per year</t>
  </si>
  <si>
    <t>New Trailer</t>
  </si>
  <si>
    <t>Direct production costs (feed, water)</t>
  </si>
  <si>
    <t>We are assuming 59% of sales is equal to the costs</t>
  </si>
  <si>
    <t>New Homogenizer</t>
  </si>
  <si>
    <t>New Pasteurizer</t>
  </si>
  <si>
    <t>New Bottleing Machine</t>
  </si>
  <si>
    <t>http://www.alibaba.com/product-detail/yogurt-cup-filling-and-sealing-machine_1080806705.html?s=p</t>
  </si>
  <si>
    <t>New Electrical &amp; Misc</t>
  </si>
  <si>
    <t>Total Initial Investment</t>
  </si>
  <si>
    <t xml:space="preserve">Pro Forma Balance Sheet -- Asset side </t>
  </si>
  <si>
    <t>New Eq</t>
  </si>
  <si>
    <t>Old Eq</t>
  </si>
  <si>
    <t>ASSUMPTIONS EDIT AS NEEDED</t>
  </si>
  <si>
    <t>Process time (hrs)</t>
  </si>
  <si>
    <t>Yield</t>
  </si>
  <si>
    <t>Processes</t>
  </si>
  <si>
    <t>Shifts / wk</t>
  </si>
  <si>
    <t>Days / wk</t>
  </si>
  <si>
    <t>Avail time (hrs)</t>
  </si>
  <si>
    <t>Max kg / wk</t>
  </si>
  <si>
    <t>Max kg / day</t>
  </si>
  <si>
    <t>Throughput Capacity:</t>
  </si>
  <si>
    <t>revenue @</t>
  </si>
  <si>
    <t>Blend Milk</t>
  </si>
  <si>
    <t>Pasteurizer</t>
  </si>
  <si>
    <t>Cool Down</t>
  </si>
  <si>
    <t>Inoculate</t>
  </si>
  <si>
    <t>Hold</t>
  </si>
  <si>
    <t>Cool</t>
  </si>
  <si>
    <t>Weekly intake cap (gal)</t>
  </si>
  <si>
    <t>Weekly output cap (gal)</t>
  </si>
  <si>
    <t>Step</t>
  </si>
  <si>
    <t>Finished Yogurt</t>
  </si>
  <si>
    <t>Per gallon of Yogurt</t>
  </si>
  <si>
    <t>We are assuming NWC is 25% of next years costs</t>
  </si>
  <si>
    <t>NPV @ 8%</t>
  </si>
  <si>
    <t>− Tax (15%)</t>
  </si>
  <si>
    <t>Tax rate is the self employment tax rate of 15%</t>
  </si>
  <si>
    <t>Gallons of NH Milk Produced 1st year</t>
  </si>
  <si>
    <t>Price of Milk per gallon</t>
  </si>
  <si>
    <t>New Pump</t>
  </si>
  <si>
    <t>Homogenize</t>
  </si>
  <si>
    <t>Package</t>
  </si>
  <si>
    <t>Gallons</t>
  </si>
  <si>
    <t>Gallons of finished Yogurt per day</t>
  </si>
  <si>
    <t>Packages</t>
  </si>
  <si>
    <t>Package Size in gal</t>
  </si>
  <si>
    <t>Cost of package</t>
  </si>
  <si>
    <t>New Labour</t>
  </si>
  <si>
    <t>Number of workers</t>
  </si>
  <si>
    <t>Annual Salary</t>
  </si>
  <si>
    <t>Income Tax Rate</t>
  </si>
  <si>
    <t>Driect Production cost: feed and water</t>
  </si>
  <si>
    <t>Monthey Net Working Capital</t>
  </si>
  <si>
    <t xml:space="preserve">ASSUMPTIONS </t>
  </si>
  <si>
    <t>Pro Forma Income Statement ($)</t>
  </si>
  <si>
    <t>NPV @ 6%</t>
  </si>
  <si>
    <t>Price of Yogurt per gallon ($)</t>
  </si>
  <si>
    <t>Project Cash Flow ($)</t>
  </si>
  <si>
    <t>YOGURT FINANCIAL INVESTMENT ANALYSIS</t>
  </si>
  <si>
    <t xml:space="preserve"> Process Capacity Analysis</t>
  </si>
  <si>
    <t>NON-HOMO MILK FINANCIAL INVESTMENT ANALYSIS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</si>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</sst>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100">
    <xf numFmtId="0" fontId="0" fillId="0" borderId="0" xfId="0"/>
    <xf numFmtId="0" fontId="3" fillId="2" borderId="2" xfId="1" applyFont="1" applyFill="1" applyBorder="1" applyAlignment="1">
      <alignment horizontal="right"/>
    </xf>
    <xf numFmtId="0" fontId="3" fillId="2" borderId="3" xfId="1" applyFont="1" applyFill="1" applyBorder="1"/>
    <xf numFmtId="0" fontId="3" fillId="2" borderId="4" xfId="1" applyFont="1" applyFill="1" applyBorder="1"/>
    <xf numFmtId="0" fontId="2" fillId="0" borderId="1" xfId="1"/>
    <xf numFmtId="0" fontId="2" fillId="0" borderId="5" xfId="1" applyFont="1" applyBorder="1"/>
    <xf numFmtId="0" fontId="2" fillId="0" borderId="5" xfId="1" applyFont="1" applyBorder="1" applyAlignment="1">
      <alignment horizontal="left" indent="1"/>
    </xf>
    <xf numFmtId="0" fontId="3" fillId="0" borderId="6" xfId="1" applyFont="1" applyBorder="1"/>
    <xf numFmtId="0" fontId="2" fillId="0" borderId="1" xfId="1" applyBorder="1"/>
    <xf numFmtId="0" fontId="2" fillId="0" borderId="7" xfId="1" applyBorder="1"/>
    <xf numFmtId="0" fontId="2" fillId="0" borderId="5" xfId="1" applyBorder="1"/>
    <xf numFmtId="0" fontId="2" fillId="0" borderId="5" xfId="1" applyBorder="1" applyAlignment="1">
      <alignment horizontal="left" indent="2"/>
    </xf>
    <xf numFmtId="0" fontId="2" fillId="0" borderId="5" xfId="1" applyBorder="1" applyAlignment="1">
      <alignment horizontal="right"/>
    </xf>
    <xf numFmtId="0" fontId="2" fillId="0" borderId="5" xfId="1" quotePrefix="1" applyBorder="1"/>
    <xf numFmtId="0" fontId="2" fillId="0" borderId="1" xfId="1" quotePrefix="1" applyBorder="1"/>
    <xf numFmtId="0" fontId="3" fillId="0" borderId="2" xfId="1" applyFont="1" applyBorder="1"/>
    <xf numFmtId="0" fontId="2" fillId="0" borderId="3" xfId="1" applyBorder="1"/>
    <xf numFmtId="0" fontId="2" fillId="0" borderId="4" xfId="1" applyBorder="1"/>
    <xf numFmtId="1" fontId="2" fillId="0" borderId="5" xfId="1" applyNumberFormat="1" applyBorder="1"/>
    <xf numFmtId="0" fontId="2" fillId="0" borderId="8" xfId="1" applyBorder="1"/>
    <xf numFmtId="0" fontId="2" fillId="0" borderId="9" xfId="1" applyBorder="1"/>
    <xf numFmtId="0" fontId="2" fillId="0" borderId="10" xfId="1" applyBorder="1"/>
    <xf numFmtId="0" fontId="2" fillId="0" borderId="2" xfId="1" applyBorder="1"/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1" fontId="2" fillId="0" borderId="5" xfId="1" applyNumberFormat="1" applyBorder="1" applyAlignment="1">
      <alignment horizontal="right" indent="2"/>
    </xf>
    <xf numFmtId="0" fontId="2" fillId="0" borderId="5" xfId="1" applyBorder="1" applyAlignment="1">
      <alignment horizontal="right" indent="2"/>
    </xf>
    <xf numFmtId="164" fontId="2" fillId="0" borderId="5" xfId="1" applyNumberFormat="1" applyBorder="1"/>
    <xf numFmtId="0" fontId="3" fillId="2" borderId="5" xfId="1" applyFont="1" applyFill="1" applyBorder="1" applyAlignment="1">
      <alignment horizontal="left"/>
    </xf>
    <xf numFmtId="0" fontId="3" fillId="2" borderId="5" xfId="1" applyFont="1" applyFill="1" applyBorder="1"/>
    <xf numFmtId="8" fontId="2" fillId="0" borderId="1" xfId="1" applyNumberFormat="1"/>
    <xf numFmtId="2" fontId="2" fillId="0" borderId="1" xfId="1" applyNumberFormat="1"/>
    <xf numFmtId="9" fontId="2" fillId="0" borderId="1" xfId="1" applyNumberFormat="1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right" indent="2"/>
    </xf>
    <xf numFmtId="2" fontId="2" fillId="0" borderId="5" xfId="1" applyNumberFormat="1" applyBorder="1"/>
    <xf numFmtId="0" fontId="2" fillId="0" borderId="0" xfId="0" applyFont="1"/>
    <xf numFmtId="1" fontId="0" fillId="0" borderId="0" xfId="0" applyNumberFormat="1"/>
    <xf numFmtId="2" fontId="2" fillId="0" borderId="5" xfId="1" applyNumberFormat="1" applyBorder="1" applyAlignment="1">
      <alignment horizontal="right" indent="2"/>
    </xf>
    <xf numFmtId="1" fontId="2" fillId="0" borderId="1" xfId="1" applyNumberFormat="1"/>
    <xf numFmtId="0" fontId="4" fillId="0" borderId="0" xfId="0" quotePrefix="1" applyFont="1" applyAlignment="1">
      <alignment horizontal="left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Alignment="1">
      <alignment horizontal="left"/>
    </xf>
    <xf numFmtId="9" fontId="2" fillId="0" borderId="0" xfId="0" applyNumberFormat="1" applyFont="1"/>
    <xf numFmtId="1" fontId="2" fillId="0" borderId="0" xfId="0" applyNumberFormat="1" applyFont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7" fillId="0" borderId="1" xfId="0" applyNumberFormat="1" applyFont="1" applyFill="1" applyBorder="1"/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/>
    <xf numFmtId="9" fontId="7" fillId="0" borderId="1" xfId="0" applyNumberFormat="1" applyFont="1" applyFill="1" applyBorder="1"/>
    <xf numFmtId="165" fontId="7" fillId="0" borderId="1" xfId="0" applyNumberFormat="1" applyFont="1" applyFill="1" applyBorder="1"/>
    <xf numFmtId="44" fontId="2" fillId="3" borderId="1" xfId="0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9" fontId="2" fillId="0" borderId="10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>
      <protection locked="0"/>
    </xf>
    <xf numFmtId="9" fontId="2" fillId="0" borderId="7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8" fillId="0" borderId="0" xfId="0" applyFont="1"/>
    <xf numFmtId="0" fontId="2" fillId="0" borderId="5" xfId="1" applyBorder="1" applyAlignment="1">
      <alignment horizontal="left" wrapText="1" indent="2"/>
    </xf>
    <xf numFmtId="0" fontId="0" fillId="0" borderId="5" xfId="0" applyBorder="1"/>
    <xf numFmtId="2" fontId="0" fillId="0" borderId="5" xfId="0" applyNumberFormat="1" applyBorder="1"/>
    <xf numFmtId="2" fontId="0" fillId="0" borderId="0" xfId="0" applyNumberFormat="1"/>
    <xf numFmtId="0" fontId="1" fillId="0" borderId="6" xfId="1" applyFont="1" applyBorder="1"/>
    <xf numFmtId="0" fontId="1" fillId="0" borderId="0" xfId="0" applyFont="1"/>
    <xf numFmtId="0" fontId="2" fillId="0" borderId="2" xfId="1" applyFont="1" applyBorder="1"/>
    <xf numFmtId="2" fontId="2" fillId="0" borderId="2" xfId="1" applyNumberFormat="1" applyBorder="1"/>
    <xf numFmtId="0" fontId="0" fillId="0" borderId="1" xfId="0" applyBorder="1"/>
    <xf numFmtId="2" fontId="0" fillId="0" borderId="2" xfId="0" applyNumberFormat="1" applyBorder="1"/>
    <xf numFmtId="0" fontId="0" fillId="0" borderId="2" xfId="0" applyBorder="1"/>
    <xf numFmtId="1" fontId="2" fillId="0" borderId="2" xfId="1" applyNumberFormat="1" applyBorder="1"/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1" fillId="0" borderId="2" xfId="1" applyFont="1" applyBorder="1"/>
    <xf numFmtId="0" fontId="2" fillId="0" borderId="5" xfId="0" applyFont="1" applyBorder="1"/>
    <xf numFmtId="1" fontId="0" fillId="0" borderId="5" xfId="0" applyNumberFormat="1" applyBorder="1"/>
    <xf numFmtId="8" fontId="2" fillId="0" borderId="5" xfId="1" applyNumberFormat="1" applyBorder="1"/>
    <xf numFmtId="9" fontId="2" fillId="0" borderId="5" xfId="1" applyNumberFormat="1" applyBorder="1"/>
    <xf numFmtId="0" fontId="1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PV@10%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PV@1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90" zoomScaleNormal="90" workbookViewId="0">
      <selection activeCell="B41" sqref="B41"/>
    </sheetView>
  </sheetViews>
  <sheetFormatPr defaultColWidth="14.42578125" defaultRowHeight="15.75" customHeight="1" x14ac:dyDescent="0.2"/>
  <cols>
    <col min="1" max="1" width="25.5703125" customWidth="1"/>
    <col min="3" max="3" width="14.7109375" bestFit="1" customWidth="1"/>
    <col min="6" max="6" width="18.28515625" customWidth="1"/>
    <col min="11" max="11" width="42.42578125" bestFit="1" customWidth="1"/>
    <col min="12" max="12" width="11.5703125" bestFit="1" customWidth="1"/>
  </cols>
  <sheetData>
    <row r="1" spans="1:14" ht="15.75" customHeight="1" x14ac:dyDescent="0.2">
      <c r="A1" s="83" t="s">
        <v>92</v>
      </c>
    </row>
    <row r="2" spans="1:14" ht="15.75" customHeight="1" x14ac:dyDescent="0.2">
      <c r="A2" s="1" t="s">
        <v>2</v>
      </c>
      <c r="B2" s="2">
        <v>0</v>
      </c>
      <c r="C2" s="2">
        <v>1</v>
      </c>
      <c r="D2" s="2">
        <v>2</v>
      </c>
      <c r="E2" s="2">
        <v>3</v>
      </c>
      <c r="F2" s="3">
        <v>4</v>
      </c>
      <c r="G2" s="2">
        <v>5</v>
      </c>
      <c r="H2" s="2">
        <v>6</v>
      </c>
      <c r="I2" s="3">
        <v>7</v>
      </c>
      <c r="K2" s="2" t="s">
        <v>87</v>
      </c>
      <c r="L2" s="2"/>
    </row>
    <row r="3" spans="1:14" ht="15.75" customHeight="1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K3" s="79" t="s">
        <v>30</v>
      </c>
      <c r="L3" s="79">
        <v>20000</v>
      </c>
    </row>
    <row r="4" spans="1:14" ht="15.75" customHeight="1" x14ac:dyDescent="0.2">
      <c r="A4" s="6"/>
      <c r="B4" s="5"/>
      <c r="C4" s="5">
        <v>0.1429</v>
      </c>
      <c r="D4" s="5">
        <v>0.24490000000000001</v>
      </c>
      <c r="E4" s="5">
        <v>0.1749</v>
      </c>
      <c r="F4" s="5">
        <v>0.1249</v>
      </c>
      <c r="G4" s="5">
        <v>8.9300000000000004E-2</v>
      </c>
      <c r="H4" s="5">
        <v>8.9200000000000002E-2</v>
      </c>
      <c r="I4" s="5">
        <v>8.9300000000000004E-2</v>
      </c>
      <c r="K4" s="79"/>
      <c r="L4" s="79"/>
    </row>
    <row r="5" spans="1:14" ht="15.75" customHeight="1" x14ac:dyDescent="0.2">
      <c r="A5" s="1" t="s">
        <v>2</v>
      </c>
      <c r="B5" s="2">
        <v>0</v>
      </c>
      <c r="C5" s="2">
        <v>1</v>
      </c>
      <c r="D5" s="2">
        <v>2</v>
      </c>
      <c r="E5" s="2">
        <v>3</v>
      </c>
      <c r="F5" s="3">
        <v>4</v>
      </c>
      <c r="G5" s="2">
        <v>5</v>
      </c>
      <c r="H5" s="2">
        <v>6</v>
      </c>
      <c r="I5" s="3">
        <v>7</v>
      </c>
      <c r="K5" s="79" t="s">
        <v>90</v>
      </c>
      <c r="L5" s="79">
        <v>8.4700000000000006</v>
      </c>
    </row>
    <row r="6" spans="1:14" ht="15.75" customHeight="1" x14ac:dyDescent="0.2">
      <c r="A6" s="82" t="s">
        <v>88</v>
      </c>
      <c r="B6" s="8"/>
      <c r="C6" s="8"/>
      <c r="D6" s="8"/>
      <c r="E6" s="8"/>
      <c r="F6" s="9"/>
      <c r="G6" s="8"/>
      <c r="H6" s="8"/>
      <c r="I6" s="8"/>
      <c r="K6" s="79"/>
      <c r="L6" s="94"/>
    </row>
    <row r="7" spans="1:14" ht="15.75" customHeight="1" x14ac:dyDescent="0.2">
      <c r="A7" s="5" t="s">
        <v>5</v>
      </c>
      <c r="B7" s="10"/>
      <c r="C7" s="10">
        <f>L3*L5</f>
        <v>169400</v>
      </c>
      <c r="D7" s="10">
        <f t="shared" ref="D7:I7" si="0">C7+(C7*$L$7)</f>
        <v>194810</v>
      </c>
      <c r="E7" s="10">
        <f t="shared" si="0"/>
        <v>224031.5</v>
      </c>
      <c r="F7" s="36">
        <f t="shared" si="0"/>
        <v>257636.22500000001</v>
      </c>
      <c r="G7" s="36">
        <f t="shared" si="0"/>
        <v>296281.65875</v>
      </c>
      <c r="H7" s="36">
        <f t="shared" si="0"/>
        <v>340723.90756249998</v>
      </c>
      <c r="I7" s="36">
        <f t="shared" si="0"/>
        <v>391832.493696875</v>
      </c>
      <c r="K7" s="79" t="s">
        <v>32</v>
      </c>
      <c r="L7" s="79">
        <v>0.15</v>
      </c>
    </row>
    <row r="8" spans="1:14" ht="15.75" customHeight="1" x14ac:dyDescent="0.2">
      <c r="A8" s="10" t="s">
        <v>6</v>
      </c>
      <c r="B8" s="10"/>
      <c r="K8" s="79"/>
      <c r="L8" s="79"/>
      <c r="N8" s="81"/>
    </row>
    <row r="9" spans="1:14" ht="29.25" customHeight="1" x14ac:dyDescent="0.2">
      <c r="A9" s="78" t="s">
        <v>34</v>
      </c>
      <c r="B9" s="10"/>
      <c r="C9" s="10">
        <f>-C7*$L$10</f>
        <v>-99946</v>
      </c>
      <c r="D9" s="10">
        <f t="shared" ref="D9:I9" si="1">-D7*$L$10</f>
        <v>-114937.9</v>
      </c>
      <c r="E9" s="36">
        <f t="shared" si="1"/>
        <v>-132178.58499999999</v>
      </c>
      <c r="F9" s="36">
        <f t="shared" si="1"/>
        <v>-152005.37275000001</v>
      </c>
      <c r="G9" s="36">
        <f t="shared" si="1"/>
        <v>-174806.17866249999</v>
      </c>
      <c r="H9" s="36">
        <f t="shared" si="1"/>
        <v>-201027.10546187498</v>
      </c>
      <c r="I9" s="36">
        <f t="shared" si="1"/>
        <v>-231181.17128115625</v>
      </c>
      <c r="K9" s="79" t="s">
        <v>84</v>
      </c>
      <c r="L9" s="79">
        <v>0.15</v>
      </c>
    </row>
    <row r="10" spans="1:14" ht="15.75" customHeight="1" x14ac:dyDescent="0.2">
      <c r="A10" s="79" t="s">
        <v>78</v>
      </c>
      <c r="B10" s="79"/>
      <c r="C10" s="79">
        <f t="shared" ref="C10:I10" si="2">-((C7/$L$5)/$L$17)*$L$18</f>
        <v>-33333.333333333336</v>
      </c>
      <c r="D10" s="79">
        <f t="shared" si="2"/>
        <v>-38333.333333333336</v>
      </c>
      <c r="E10" s="79">
        <f t="shared" si="2"/>
        <v>-44083.333333333328</v>
      </c>
      <c r="F10" s="80">
        <f t="shared" si="2"/>
        <v>-50695.833333333336</v>
      </c>
      <c r="G10" s="80">
        <f t="shared" si="2"/>
        <v>-58300.208333333336</v>
      </c>
      <c r="H10" s="80">
        <f t="shared" si="2"/>
        <v>-67045.239583333328</v>
      </c>
      <c r="I10" s="80">
        <f t="shared" si="2"/>
        <v>-77102.025520833326</v>
      </c>
      <c r="K10" s="79" t="s">
        <v>85</v>
      </c>
      <c r="L10" s="79">
        <v>0.59</v>
      </c>
    </row>
    <row r="11" spans="1:14" ht="15.75" customHeight="1" x14ac:dyDescent="0.2">
      <c r="A11" s="79" t="s">
        <v>81</v>
      </c>
      <c r="B11" s="79"/>
      <c r="C11" s="79">
        <f>-$L$20*$L$19</f>
        <v>-15000</v>
      </c>
      <c r="D11" s="79">
        <f t="shared" ref="D11:I11" si="3">-$L$20*$L$19</f>
        <v>-15000</v>
      </c>
      <c r="E11" s="79">
        <f t="shared" si="3"/>
        <v>-15000</v>
      </c>
      <c r="F11" s="79">
        <f t="shared" si="3"/>
        <v>-15000</v>
      </c>
      <c r="G11" s="79">
        <f t="shared" si="3"/>
        <v>-15000</v>
      </c>
      <c r="H11" s="79">
        <f t="shared" si="3"/>
        <v>-15000</v>
      </c>
      <c r="I11" s="79">
        <f t="shared" si="3"/>
        <v>-15000</v>
      </c>
      <c r="K11" s="94" t="s">
        <v>73</v>
      </c>
      <c r="L11" s="79">
        <v>10000</v>
      </c>
    </row>
    <row r="12" spans="1:14" ht="23.25" customHeight="1" x14ac:dyDescent="0.2">
      <c r="A12" s="79" t="s">
        <v>1</v>
      </c>
      <c r="B12" s="79"/>
      <c r="C12" s="79">
        <f>SUM(C9:C11)</f>
        <v>-148279.33333333334</v>
      </c>
      <c r="D12" s="79">
        <f t="shared" ref="D12:I12" si="4">SUM(D9:D11)</f>
        <v>-168271.23333333334</v>
      </c>
      <c r="E12" s="80">
        <f t="shared" si="4"/>
        <v>-191261.91833333333</v>
      </c>
      <c r="F12" s="80">
        <f t="shared" si="4"/>
        <v>-217701.20608333335</v>
      </c>
      <c r="G12" s="80">
        <f t="shared" si="4"/>
        <v>-248106.38699583334</v>
      </c>
      <c r="H12" s="80">
        <f t="shared" si="4"/>
        <v>-283072.34504520829</v>
      </c>
      <c r="I12" s="80">
        <f t="shared" si="4"/>
        <v>-323283.19680198957</v>
      </c>
      <c r="K12" s="94" t="s">
        <v>36</v>
      </c>
      <c r="L12" s="95">
        <v>10000</v>
      </c>
    </row>
    <row r="13" spans="1:14" ht="15.75" customHeight="1" x14ac:dyDescent="0.2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K13" s="94" t="s">
        <v>40</v>
      </c>
      <c r="L13" s="79">
        <v>10000</v>
      </c>
    </row>
    <row r="14" spans="1:14" ht="15.75" customHeight="1" x14ac:dyDescent="0.2">
      <c r="A14" s="11" t="s">
        <v>33</v>
      </c>
      <c r="B14" s="10"/>
      <c r="C14" s="36">
        <f t="shared" ref="C14:I14" si="5">-$B$26*C4</f>
        <v>-1429</v>
      </c>
      <c r="D14" s="36">
        <f t="shared" si="5"/>
        <v>-2449</v>
      </c>
      <c r="E14" s="36">
        <f t="shared" si="5"/>
        <v>-1749</v>
      </c>
      <c r="F14" s="36">
        <f t="shared" si="5"/>
        <v>-1249</v>
      </c>
      <c r="G14" s="36">
        <f t="shared" si="5"/>
        <v>-893</v>
      </c>
      <c r="H14" s="36">
        <f t="shared" si="5"/>
        <v>-892</v>
      </c>
      <c r="I14" s="36">
        <f t="shared" si="5"/>
        <v>-893</v>
      </c>
      <c r="K14" s="94" t="s">
        <v>38</v>
      </c>
      <c r="L14" s="95">
        <v>20000</v>
      </c>
    </row>
    <row r="15" spans="1:14" ht="15.75" customHeight="1" x14ac:dyDescent="0.2">
      <c r="A15" s="11" t="s">
        <v>8</v>
      </c>
      <c r="B15" s="10"/>
      <c r="C15" s="18">
        <f t="shared" ref="C15:I15" si="6">-$B$27*C4</f>
        <v>-7145</v>
      </c>
      <c r="D15" s="18">
        <f t="shared" si="6"/>
        <v>-12245</v>
      </c>
      <c r="E15" s="18">
        <f t="shared" si="6"/>
        <v>-8745</v>
      </c>
      <c r="F15" s="18">
        <f t="shared" si="6"/>
        <v>-6245</v>
      </c>
      <c r="G15" s="18">
        <f t="shared" si="6"/>
        <v>-4465</v>
      </c>
      <c r="H15" s="18">
        <f t="shared" si="6"/>
        <v>-4460</v>
      </c>
      <c r="I15" s="18">
        <f t="shared" si="6"/>
        <v>-4465</v>
      </c>
      <c r="K15" s="94" t="s">
        <v>41</v>
      </c>
      <c r="L15" s="79">
        <f>SUM(L11:L14)</f>
        <v>50000</v>
      </c>
    </row>
    <row r="16" spans="1:14" ht="16.5" customHeight="1" x14ac:dyDescent="0.2">
      <c r="A16" s="12" t="s">
        <v>10</v>
      </c>
      <c r="B16" s="10"/>
      <c r="C16" s="18">
        <f t="shared" ref="C16:I16" si="7">SUM(C14:C15)</f>
        <v>-8574</v>
      </c>
      <c r="D16" s="18">
        <f t="shared" si="7"/>
        <v>-14694</v>
      </c>
      <c r="E16" s="18">
        <f t="shared" si="7"/>
        <v>-10494</v>
      </c>
      <c r="F16" s="18">
        <f t="shared" si="7"/>
        <v>-7494</v>
      </c>
      <c r="G16" s="18">
        <f t="shared" si="7"/>
        <v>-5358</v>
      </c>
      <c r="H16" s="18">
        <f t="shared" si="7"/>
        <v>-5352</v>
      </c>
      <c r="I16" s="18">
        <f t="shared" si="7"/>
        <v>-5358</v>
      </c>
      <c r="K16" s="94" t="s">
        <v>70</v>
      </c>
      <c r="L16" s="79"/>
    </row>
    <row r="17" spans="1:12" ht="15.75" customHeight="1" x14ac:dyDescent="0.2">
      <c r="A17" s="13" t="s">
        <v>11</v>
      </c>
      <c r="B17" s="10"/>
      <c r="C17" s="18">
        <f t="shared" ref="C17:I17" si="8">C7+C12+C16</f>
        <v>12546.666666666657</v>
      </c>
      <c r="D17" s="18">
        <f t="shared" si="8"/>
        <v>11844.766666666663</v>
      </c>
      <c r="E17" s="18">
        <f t="shared" si="8"/>
        <v>22275.581666666665</v>
      </c>
      <c r="F17" s="18">
        <f t="shared" si="8"/>
        <v>32441.018916666653</v>
      </c>
      <c r="G17" s="18">
        <f t="shared" si="8"/>
        <v>42817.271754166664</v>
      </c>
      <c r="H17" s="18">
        <f t="shared" si="8"/>
        <v>52299.562517291692</v>
      </c>
      <c r="I17" s="18">
        <f t="shared" si="8"/>
        <v>63191.296894885425</v>
      </c>
      <c r="K17" s="79" t="s">
        <v>79</v>
      </c>
      <c r="L17" s="79">
        <v>0.6</v>
      </c>
    </row>
    <row r="18" spans="1:12" ht="15.75" customHeight="1" x14ac:dyDescent="0.2">
      <c r="A18" s="10" t="s">
        <v>69</v>
      </c>
      <c r="B18" s="10"/>
      <c r="C18" s="36">
        <f>-C17*$L$9</f>
        <v>-1881.9999999999984</v>
      </c>
      <c r="D18" s="36">
        <f t="shared" ref="D18:I18" si="9">-D17*$L$9</f>
        <v>-1776.7149999999995</v>
      </c>
      <c r="E18" s="36">
        <f t="shared" si="9"/>
        <v>-3341.3372499999996</v>
      </c>
      <c r="F18" s="36">
        <f t="shared" si="9"/>
        <v>-4866.152837499998</v>
      </c>
      <c r="G18" s="36">
        <f t="shared" si="9"/>
        <v>-6422.5907631249993</v>
      </c>
      <c r="H18" s="36">
        <f t="shared" si="9"/>
        <v>-7844.9343775937532</v>
      </c>
      <c r="I18" s="36">
        <f t="shared" si="9"/>
        <v>-9478.6945342328127</v>
      </c>
      <c r="K18" s="79" t="s">
        <v>80</v>
      </c>
      <c r="L18" s="79">
        <v>1</v>
      </c>
    </row>
    <row r="19" spans="1:12" ht="15.75" customHeight="1" x14ac:dyDescent="0.2">
      <c r="A19" s="13" t="s">
        <v>12</v>
      </c>
      <c r="B19" s="10"/>
      <c r="C19" s="18">
        <f>SUM(C17:C18)</f>
        <v>10664.666666666659</v>
      </c>
      <c r="D19" s="18">
        <f t="shared" ref="D19:I19" si="10">SUM(D17:D18)</f>
        <v>10068.051666666663</v>
      </c>
      <c r="E19" s="18">
        <f t="shared" si="10"/>
        <v>18934.244416666665</v>
      </c>
      <c r="F19" s="18">
        <f t="shared" si="10"/>
        <v>27574.866079166655</v>
      </c>
      <c r="G19" s="18">
        <f t="shared" si="10"/>
        <v>36394.680991041663</v>
      </c>
      <c r="H19" s="18">
        <f t="shared" si="10"/>
        <v>44454.628139697939</v>
      </c>
      <c r="I19" s="18">
        <f t="shared" si="10"/>
        <v>53712.602360652614</v>
      </c>
      <c r="K19" s="79" t="s">
        <v>82</v>
      </c>
      <c r="L19" s="79">
        <v>1</v>
      </c>
    </row>
    <row r="20" spans="1:12" ht="15.75" customHeight="1" x14ac:dyDescent="0.2">
      <c r="A20" s="14"/>
      <c r="B20" s="8"/>
      <c r="C20" s="8"/>
      <c r="D20" s="8"/>
      <c r="E20" s="8"/>
      <c r="F20" s="8"/>
      <c r="G20" s="8"/>
      <c r="H20" s="8"/>
      <c r="I20" s="8"/>
      <c r="K20" s="79" t="s">
        <v>83</v>
      </c>
      <c r="L20" s="79">
        <v>15000</v>
      </c>
    </row>
    <row r="21" spans="1:12" ht="15.75" customHeight="1" x14ac:dyDescent="0.2">
      <c r="A21" s="1" t="s">
        <v>2</v>
      </c>
      <c r="B21" s="2">
        <v>0</v>
      </c>
      <c r="C21" s="2">
        <v>1</v>
      </c>
      <c r="D21" s="2">
        <v>2</v>
      </c>
      <c r="E21" s="2">
        <v>3</v>
      </c>
      <c r="F21" s="3">
        <v>4</v>
      </c>
      <c r="G21" s="2">
        <v>5</v>
      </c>
      <c r="H21" s="2">
        <v>6</v>
      </c>
      <c r="I21" s="3">
        <v>7</v>
      </c>
      <c r="K21" s="79" t="s">
        <v>86</v>
      </c>
      <c r="L21" s="79">
        <v>20000</v>
      </c>
    </row>
    <row r="22" spans="1:12" ht="15.75" customHeight="1" x14ac:dyDescent="0.2">
      <c r="A22" s="15" t="s">
        <v>42</v>
      </c>
      <c r="B22" s="16"/>
      <c r="C22" s="16"/>
      <c r="D22" s="16"/>
      <c r="E22" s="16"/>
      <c r="F22" s="17"/>
      <c r="G22" s="8"/>
      <c r="H22" s="8"/>
      <c r="I22" s="8"/>
      <c r="K22" s="98" t="s">
        <v>95</v>
      </c>
      <c r="L22" s="99"/>
    </row>
    <row r="23" spans="1:12" ht="15.7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K23" s="10" t="s">
        <v>89</v>
      </c>
      <c r="L23" s="96">
        <f>NPV(0.06,C48:I48)+B48</f>
        <v>83153.051058626268</v>
      </c>
    </row>
    <row r="24" spans="1:12" ht="15.75" customHeight="1" x14ac:dyDescent="0.2">
      <c r="A24" s="10" t="s">
        <v>13</v>
      </c>
      <c r="B24" s="10">
        <f>(-L21*12)/2</f>
        <v>-120000</v>
      </c>
      <c r="C24" s="36">
        <f>B24+(B24*L7)</f>
        <v>-138000</v>
      </c>
      <c r="D24" s="36">
        <f>C24+(C24*$L$7)</f>
        <v>-158700</v>
      </c>
      <c r="E24" s="36">
        <f>D24+(D24*$L$7)</f>
        <v>-182505</v>
      </c>
      <c r="F24" s="36">
        <f>E24+(E24*$L$7)</f>
        <v>-209880.75</v>
      </c>
      <c r="G24" s="36">
        <f>F24+(F24*$L$7)</f>
        <v>-241362.86249999999</v>
      </c>
      <c r="H24" s="36">
        <f>G24+(G24*$L$7)</f>
        <v>-277567.291875</v>
      </c>
      <c r="I24" s="36">
        <v>0</v>
      </c>
      <c r="K24" s="10" t="s">
        <v>28</v>
      </c>
      <c r="L24" s="36">
        <f>NPV(0.08,C48:I48)/-B48</f>
        <v>1.2908662636523935</v>
      </c>
    </row>
    <row r="25" spans="1:12" ht="15.75" customHeight="1" x14ac:dyDescent="0.2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K25" s="10" t="s">
        <v>29</v>
      </c>
      <c r="L25" s="97">
        <f>IRR(B48:I48)</f>
        <v>0.12242609727278575</v>
      </c>
    </row>
    <row r="26" spans="1:12" ht="15.75" customHeight="1" x14ac:dyDescent="0.2">
      <c r="A26" s="11" t="s">
        <v>33</v>
      </c>
      <c r="B26" s="10">
        <v>10000</v>
      </c>
      <c r="C26" s="36">
        <f t="shared" ref="C26:I27" si="11">B26+C14</f>
        <v>8571</v>
      </c>
      <c r="D26" s="36">
        <f t="shared" si="11"/>
        <v>6122</v>
      </c>
      <c r="E26" s="10">
        <f t="shared" si="11"/>
        <v>4373</v>
      </c>
      <c r="F26" s="36">
        <f t="shared" si="11"/>
        <v>3124</v>
      </c>
      <c r="G26" s="36">
        <f t="shared" si="11"/>
        <v>2231</v>
      </c>
      <c r="H26" s="10">
        <f t="shared" si="11"/>
        <v>1339</v>
      </c>
      <c r="I26" s="36">
        <f t="shared" si="11"/>
        <v>446</v>
      </c>
    </row>
    <row r="27" spans="1:12" ht="15.75" customHeight="1" x14ac:dyDescent="0.2">
      <c r="A27" s="11" t="s">
        <v>8</v>
      </c>
      <c r="B27" s="18">
        <f>L15</f>
        <v>50000</v>
      </c>
      <c r="C27" s="18">
        <f t="shared" si="11"/>
        <v>42855</v>
      </c>
      <c r="D27" s="36">
        <f t="shared" si="11"/>
        <v>30610</v>
      </c>
      <c r="E27" s="36">
        <f t="shared" si="11"/>
        <v>21865</v>
      </c>
      <c r="F27" s="36">
        <f t="shared" si="11"/>
        <v>15620</v>
      </c>
      <c r="G27" s="36">
        <f t="shared" si="11"/>
        <v>11155</v>
      </c>
      <c r="H27" s="36">
        <f t="shared" si="11"/>
        <v>6695</v>
      </c>
      <c r="I27" s="36">
        <f t="shared" si="11"/>
        <v>2230</v>
      </c>
    </row>
    <row r="28" spans="1:12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2" ht="15.75" customHeight="1" x14ac:dyDescent="0.2">
      <c r="A29" s="7" t="s">
        <v>15</v>
      </c>
      <c r="B29" s="19"/>
      <c r="C29" s="19"/>
      <c r="D29" s="19"/>
      <c r="E29" s="19"/>
      <c r="F29" s="20"/>
      <c r="G29" s="8"/>
      <c r="H29" s="8"/>
      <c r="I29" s="8"/>
    </row>
    <row r="30" spans="1:12" ht="15.75" customHeight="1" x14ac:dyDescent="0.2">
      <c r="A30" s="21"/>
      <c r="B30" s="8"/>
      <c r="C30" s="8"/>
      <c r="D30" s="8"/>
      <c r="E30" s="8"/>
      <c r="F30" s="9"/>
      <c r="G30" s="8"/>
      <c r="H30" s="8"/>
      <c r="I30" s="8"/>
    </row>
    <row r="31" spans="1:12" ht="15.75" customHeight="1" x14ac:dyDescent="0.2">
      <c r="A31" s="22"/>
      <c r="B31" s="23" t="s">
        <v>2</v>
      </c>
      <c r="C31" s="23" t="s">
        <v>16</v>
      </c>
      <c r="D31" s="23" t="s">
        <v>17</v>
      </c>
      <c r="E31" s="23" t="s">
        <v>18</v>
      </c>
      <c r="F31" s="24" t="s">
        <v>19</v>
      </c>
      <c r="G31" s="34"/>
      <c r="H31" s="34"/>
      <c r="I31" s="34"/>
    </row>
    <row r="32" spans="1:12" ht="15.75" customHeight="1" x14ac:dyDescent="0.2">
      <c r="A32" s="22"/>
      <c r="B32" s="23"/>
      <c r="C32" s="23"/>
      <c r="D32" s="23"/>
      <c r="E32" s="23"/>
      <c r="F32" s="24"/>
      <c r="G32" s="34"/>
      <c r="H32" s="34"/>
      <c r="I32" s="34"/>
    </row>
    <row r="33" spans="1:9" ht="15.75" customHeight="1" x14ac:dyDescent="0.2">
      <c r="A33" s="11" t="s">
        <v>33</v>
      </c>
      <c r="B33" s="25">
        <v>7</v>
      </c>
      <c r="C33" s="26">
        <v>5000</v>
      </c>
      <c r="D33" s="26">
        <f>I26</f>
        <v>446</v>
      </c>
      <c r="E33" s="25">
        <v>0.05</v>
      </c>
      <c r="F33" s="39">
        <f>C33-(C33-D33)*E33</f>
        <v>4772.3</v>
      </c>
      <c r="G33" s="35"/>
      <c r="H33" s="35"/>
      <c r="I33" s="35"/>
    </row>
    <row r="34" spans="1:9" ht="15.75" customHeight="1" x14ac:dyDescent="0.2">
      <c r="A34" s="11" t="s">
        <v>8</v>
      </c>
      <c r="B34" s="25">
        <v>7</v>
      </c>
      <c r="C34" s="26">
        <v>5000</v>
      </c>
      <c r="D34" s="26">
        <f>I27</f>
        <v>2230</v>
      </c>
      <c r="E34" s="25">
        <v>0.05</v>
      </c>
      <c r="F34" s="39">
        <f t="shared" ref="F34" si="12">C34-(C34-D34)*E34</f>
        <v>4861.5</v>
      </c>
      <c r="G34" s="35"/>
      <c r="H34" s="35"/>
      <c r="I34" s="35"/>
    </row>
    <row r="35" spans="1:9" ht="15.75" customHeight="1" x14ac:dyDescent="0.2">
      <c r="A35" s="8"/>
      <c r="B35" s="8"/>
      <c r="C35" s="8"/>
      <c r="D35" s="8"/>
      <c r="E35" s="8"/>
      <c r="F35" s="8"/>
      <c r="G35" s="8"/>
      <c r="H35" s="8"/>
      <c r="I35" s="8"/>
    </row>
    <row r="36" spans="1:9" ht="15.75" customHeight="1" x14ac:dyDescent="0.2">
      <c r="A36" s="1" t="s">
        <v>2</v>
      </c>
      <c r="B36" s="2">
        <v>0</v>
      </c>
      <c r="C36" s="2">
        <v>1</v>
      </c>
      <c r="D36" s="2">
        <v>2</v>
      </c>
      <c r="E36" s="2">
        <v>3</v>
      </c>
      <c r="F36" s="3">
        <v>4</v>
      </c>
      <c r="G36" s="2">
        <v>5</v>
      </c>
      <c r="H36" s="2">
        <v>6</v>
      </c>
      <c r="I36" s="3">
        <v>7</v>
      </c>
    </row>
    <row r="37" spans="1:9" ht="15.75" customHeight="1" x14ac:dyDescent="0.2">
      <c r="A37" s="93" t="s">
        <v>91</v>
      </c>
      <c r="B37" s="16"/>
      <c r="C37" s="16"/>
      <c r="D37" s="16"/>
      <c r="E37" s="16"/>
      <c r="F37" s="17"/>
      <c r="G37" s="8"/>
      <c r="H37" s="8"/>
      <c r="I37" s="8"/>
    </row>
    <row r="38" spans="1:9" ht="15.75" customHeight="1" x14ac:dyDescent="0.2">
      <c r="A38" s="10" t="s">
        <v>21</v>
      </c>
      <c r="B38" s="10"/>
      <c r="C38" s="18">
        <f t="shared" ref="C38:I38" si="13">C17</f>
        <v>12546.666666666657</v>
      </c>
      <c r="D38" s="36">
        <f t="shared" si="13"/>
        <v>11844.766666666663</v>
      </c>
      <c r="E38" s="36">
        <f t="shared" si="13"/>
        <v>22275.581666666665</v>
      </c>
      <c r="F38" s="36">
        <f t="shared" si="13"/>
        <v>32441.018916666653</v>
      </c>
      <c r="G38" s="36">
        <f t="shared" si="13"/>
        <v>42817.271754166664</v>
      </c>
      <c r="H38" s="36">
        <f t="shared" si="13"/>
        <v>52299.562517291692</v>
      </c>
      <c r="I38" s="36">
        <f t="shared" si="13"/>
        <v>63191.296894885425</v>
      </c>
    </row>
    <row r="39" spans="1:9" ht="15.75" customHeight="1" x14ac:dyDescent="0.2">
      <c r="A39" s="13" t="s">
        <v>22</v>
      </c>
      <c r="B39" s="10"/>
      <c r="C39" s="18">
        <f t="shared" ref="C39:I39" si="14">-C16</f>
        <v>8574</v>
      </c>
      <c r="D39" s="18">
        <f t="shared" si="14"/>
        <v>14694</v>
      </c>
      <c r="E39" s="18">
        <f t="shared" si="14"/>
        <v>10494</v>
      </c>
      <c r="F39" s="18">
        <f t="shared" si="14"/>
        <v>7494</v>
      </c>
      <c r="G39" s="18">
        <f t="shared" si="14"/>
        <v>5358</v>
      </c>
      <c r="H39" s="18">
        <f t="shared" si="14"/>
        <v>5352</v>
      </c>
      <c r="I39" s="18">
        <f t="shared" si="14"/>
        <v>5358</v>
      </c>
    </row>
    <row r="40" spans="1:9" ht="15.75" customHeight="1" x14ac:dyDescent="0.2">
      <c r="A40" s="13" t="s">
        <v>23</v>
      </c>
      <c r="B40" s="10"/>
      <c r="C40" s="18">
        <f t="shared" ref="C40:I40" si="15">C18</f>
        <v>-1881.9999999999984</v>
      </c>
      <c r="D40" s="18">
        <f t="shared" si="15"/>
        <v>-1776.7149999999995</v>
      </c>
      <c r="E40" s="18">
        <f t="shared" si="15"/>
        <v>-3341.3372499999996</v>
      </c>
      <c r="F40" s="18">
        <f t="shared" si="15"/>
        <v>-4866.152837499998</v>
      </c>
      <c r="G40" s="18">
        <f t="shared" si="15"/>
        <v>-6422.5907631249993</v>
      </c>
      <c r="H40" s="18">
        <f t="shared" si="15"/>
        <v>-7844.9343775937532</v>
      </c>
      <c r="I40" s="18">
        <f t="shared" si="15"/>
        <v>-9478.6945342328127</v>
      </c>
    </row>
    <row r="41" spans="1:9" ht="15.75" customHeight="1" x14ac:dyDescent="0.2">
      <c r="A41" s="13" t="s">
        <v>24</v>
      </c>
      <c r="B41" s="10"/>
      <c r="C41" s="18">
        <f>SUM(C38:C40)</f>
        <v>19238.666666666657</v>
      </c>
      <c r="D41" s="18">
        <f t="shared" ref="D41:I41" si="16">SUM(D38:D40)</f>
        <v>24762.051666666663</v>
      </c>
      <c r="E41" s="18">
        <f t="shared" si="16"/>
        <v>29428.244416666665</v>
      </c>
      <c r="F41" s="18">
        <f t="shared" si="16"/>
        <v>35068.866079166655</v>
      </c>
      <c r="G41" s="18">
        <f t="shared" si="16"/>
        <v>41752.680991041663</v>
      </c>
      <c r="H41" s="18">
        <f t="shared" si="16"/>
        <v>49806.628139697939</v>
      </c>
      <c r="I41" s="18">
        <f t="shared" si="16"/>
        <v>59070.602360652614</v>
      </c>
    </row>
    <row r="42" spans="1:9" ht="15.75" customHeight="1" x14ac:dyDescent="0.2">
      <c r="A42" s="13" t="s">
        <v>25</v>
      </c>
      <c r="B42" s="18">
        <f>B24</f>
        <v>-120000</v>
      </c>
      <c r="C42" s="18">
        <f t="shared" ref="C42:I42" si="17">C24-B24</f>
        <v>-18000</v>
      </c>
      <c r="D42" s="18">
        <f t="shared" si="17"/>
        <v>-20700</v>
      </c>
      <c r="E42" s="18">
        <f t="shared" si="17"/>
        <v>-23805</v>
      </c>
      <c r="F42" s="18">
        <f t="shared" si="17"/>
        <v>-27375.75</v>
      </c>
      <c r="G42" s="18">
        <f t="shared" si="17"/>
        <v>-31482.112499999988</v>
      </c>
      <c r="H42" s="18">
        <f t="shared" si="17"/>
        <v>-36204.429375000007</v>
      </c>
      <c r="I42" s="18">
        <f t="shared" si="17"/>
        <v>277567.291875</v>
      </c>
    </row>
    <row r="43" spans="1:9" ht="15.75" customHeight="1" x14ac:dyDescent="0.2">
      <c r="A43" s="13" t="s">
        <v>26</v>
      </c>
      <c r="B43" s="28"/>
      <c r="C43" s="18"/>
      <c r="D43" s="18"/>
      <c r="E43" s="18"/>
      <c r="F43" s="18"/>
      <c r="G43" s="18"/>
      <c r="H43" s="18"/>
      <c r="I43" s="18"/>
    </row>
    <row r="44" spans="1:9" ht="15.75" customHeight="1" x14ac:dyDescent="0.2">
      <c r="A44" s="11" t="s">
        <v>33</v>
      </c>
      <c r="B44" s="18">
        <f>-B26</f>
        <v>-10000</v>
      </c>
      <c r="C44" s="18"/>
      <c r="D44" s="18"/>
      <c r="E44" s="18"/>
      <c r="F44" s="18"/>
      <c r="G44" s="18"/>
      <c r="H44" s="18"/>
      <c r="I44" s="18">
        <f>F33</f>
        <v>4772.3</v>
      </c>
    </row>
    <row r="45" spans="1:9" ht="15.75" customHeight="1" x14ac:dyDescent="0.2">
      <c r="A45" s="11" t="s">
        <v>43</v>
      </c>
      <c r="B45" s="18">
        <f>-B27</f>
        <v>-50000</v>
      </c>
      <c r="C45" s="18"/>
      <c r="D45" s="18"/>
      <c r="E45" s="18"/>
      <c r="F45" s="18"/>
      <c r="G45" s="18"/>
      <c r="H45" s="18"/>
      <c r="I45" s="18">
        <f>F34</f>
        <v>4861.5</v>
      </c>
    </row>
    <row r="46" spans="1:9" ht="15.75" hidden="1" customHeight="1" x14ac:dyDescent="0.2">
      <c r="A46" s="11"/>
      <c r="B46" s="28"/>
      <c r="C46" s="18"/>
      <c r="D46" s="18"/>
      <c r="E46" s="18"/>
      <c r="F46" s="18"/>
      <c r="G46" s="18"/>
      <c r="H46" s="18"/>
      <c r="I46" s="18"/>
    </row>
    <row r="47" spans="1:9" ht="15.75" hidden="1" customHeight="1" x14ac:dyDescent="0.2">
      <c r="A47" s="29" t="s">
        <v>27</v>
      </c>
      <c r="B47" s="30"/>
      <c r="C47" s="30"/>
      <c r="D47" s="30"/>
      <c r="E47" s="30"/>
      <c r="F47" s="30"/>
      <c r="G47" s="30"/>
      <c r="H47" s="30"/>
      <c r="I47" s="30"/>
    </row>
    <row r="48" spans="1:9" ht="15.75" customHeight="1" x14ac:dyDescent="0.2">
      <c r="A48" s="4"/>
      <c r="B48" s="4">
        <f t="shared" ref="B48:I48" si="18">SUM(B41:B45)</f>
        <v>-180000</v>
      </c>
      <c r="C48" s="32">
        <f t="shared" si="18"/>
        <v>1238.666666666657</v>
      </c>
      <c r="D48" s="32">
        <f t="shared" si="18"/>
        <v>4062.0516666666626</v>
      </c>
      <c r="E48" s="32">
        <f t="shared" si="18"/>
        <v>5623.2444166666646</v>
      </c>
      <c r="F48" s="40">
        <f t="shared" si="18"/>
        <v>7693.1160791666553</v>
      </c>
      <c r="G48" s="40">
        <f t="shared" si="18"/>
        <v>10270.568491041675</v>
      </c>
      <c r="H48" s="40">
        <f t="shared" si="18"/>
        <v>13602.198764697932</v>
      </c>
      <c r="I48" s="40">
        <f t="shared" si="18"/>
        <v>346271.69423565263</v>
      </c>
    </row>
    <row r="49" spans="2:9" ht="15.75" customHeight="1" x14ac:dyDescent="0.2">
      <c r="B49" s="4"/>
      <c r="C49" s="4"/>
      <c r="D49" s="4"/>
      <c r="E49" s="4"/>
      <c r="F49" s="4"/>
      <c r="G49" s="4"/>
      <c r="H49" s="4"/>
      <c r="I49" s="4"/>
    </row>
    <row r="50" spans="2:9" ht="15.75" customHeight="1" x14ac:dyDescent="0.2">
      <c r="B50" s="4"/>
      <c r="C50" s="4"/>
      <c r="D50" s="4"/>
      <c r="E50" s="4"/>
      <c r="F50" s="4"/>
      <c r="G50" s="4"/>
      <c r="H50" s="4"/>
      <c r="I50" s="4"/>
    </row>
    <row r="51" spans="2:9" ht="15.75" customHeight="1" x14ac:dyDescent="0.2">
      <c r="B51" s="4"/>
      <c r="C51" s="4"/>
      <c r="D51" s="4"/>
      <c r="E51" s="4"/>
      <c r="F51" s="4"/>
      <c r="G51" s="4"/>
      <c r="H51" s="4"/>
      <c r="I51" s="4"/>
    </row>
    <row r="52" spans="2:9" ht="15.75" customHeight="1" x14ac:dyDescent="0.2">
      <c r="B52" s="4"/>
      <c r="C52" s="4"/>
      <c r="D52" s="4"/>
      <c r="E52" s="4"/>
      <c r="F52" s="4"/>
      <c r="G52" s="4"/>
      <c r="H52" s="4"/>
      <c r="I52" s="4"/>
    </row>
    <row r="53" spans="2:9" ht="15.75" customHeight="1" x14ac:dyDescent="0.2">
      <c r="B53" s="4"/>
      <c r="C53" s="4"/>
      <c r="D53" s="4"/>
      <c r="E53" s="4"/>
      <c r="F53" s="4"/>
      <c r="G53" s="4"/>
      <c r="H53" s="4"/>
      <c r="I53" s="4"/>
    </row>
    <row r="54" spans="2:9" ht="15.75" customHeight="1" x14ac:dyDescent="0.2">
      <c r="B54" s="4"/>
      <c r="C54" s="4"/>
      <c r="D54" s="4"/>
      <c r="E54" s="4"/>
      <c r="F54" s="4"/>
      <c r="G54" s="4"/>
      <c r="H54" s="4"/>
      <c r="I54" s="4"/>
    </row>
  </sheetData>
  <mergeCells count="1">
    <mergeCell ref="K22:L22"/>
  </mergeCells>
  <hyperlinks>
    <hyperlink ref="K23" r:id="rId1" display="NPV@10%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7" zoomScale="80" zoomScaleNormal="80" workbookViewId="0">
      <selection activeCell="F25" sqref="F25"/>
    </sheetView>
  </sheetViews>
  <sheetFormatPr defaultColWidth="14.42578125" defaultRowHeight="15.75" customHeight="1" x14ac:dyDescent="0.2"/>
  <cols>
    <col min="1" max="1" width="25.5703125" customWidth="1"/>
    <col min="3" max="3" width="14.7109375" bestFit="1" customWidth="1"/>
    <col min="6" max="6" width="18.28515625" customWidth="1"/>
    <col min="11" max="11" width="31.7109375" bestFit="1" customWidth="1"/>
  </cols>
  <sheetData>
    <row r="1" spans="1:13" ht="15.75" customHeight="1" x14ac:dyDescent="0.2">
      <c r="A1" s="37" t="s">
        <v>94</v>
      </c>
    </row>
    <row r="2" spans="1:13" ht="15.75" customHeight="1" x14ac:dyDescent="0.2">
      <c r="A2" s="1" t="s">
        <v>2</v>
      </c>
      <c r="B2" s="2">
        <v>0</v>
      </c>
      <c r="C2" s="2">
        <v>1</v>
      </c>
      <c r="D2" s="2">
        <v>2</v>
      </c>
      <c r="E2" s="2">
        <v>3</v>
      </c>
      <c r="F2" s="3">
        <v>4</v>
      </c>
      <c r="G2" s="2">
        <v>5</v>
      </c>
      <c r="H2" s="2">
        <v>6</v>
      </c>
      <c r="I2" s="3">
        <v>7</v>
      </c>
      <c r="K2" s="37" t="s">
        <v>45</v>
      </c>
    </row>
    <row r="3" spans="1:13" ht="15.75" customHeight="1" x14ac:dyDescent="0.2">
      <c r="A3" s="4" t="s">
        <v>3</v>
      </c>
      <c r="B3" s="5"/>
      <c r="C3" s="5"/>
      <c r="D3" s="5"/>
      <c r="E3" s="5"/>
      <c r="F3" s="5"/>
      <c r="G3" s="5"/>
      <c r="H3" s="5"/>
      <c r="I3" s="5"/>
      <c r="K3" s="37" t="s">
        <v>71</v>
      </c>
    </row>
    <row r="4" spans="1:13" ht="15.75" customHeight="1" x14ac:dyDescent="0.2">
      <c r="A4" s="6"/>
      <c r="B4" s="5"/>
      <c r="C4" s="5">
        <v>0.1429</v>
      </c>
      <c r="D4" s="5">
        <v>0.24490000000000001</v>
      </c>
      <c r="E4" s="5">
        <v>0.1749</v>
      </c>
      <c r="F4" s="5">
        <v>0.1249</v>
      </c>
      <c r="G4" s="5">
        <v>8.9300000000000004E-2</v>
      </c>
      <c r="H4" s="5">
        <v>8.9200000000000002E-2</v>
      </c>
      <c r="I4" s="5">
        <v>8.9300000000000004E-2</v>
      </c>
      <c r="K4">
        <v>1500</v>
      </c>
    </row>
    <row r="5" spans="1:13" ht="15.75" customHeight="1" x14ac:dyDescent="0.2">
      <c r="A5" s="1" t="s">
        <v>2</v>
      </c>
      <c r="B5" s="2">
        <v>0</v>
      </c>
      <c r="C5" s="2">
        <v>1</v>
      </c>
      <c r="D5" s="2">
        <v>2</v>
      </c>
      <c r="E5" s="2">
        <v>3</v>
      </c>
      <c r="F5" s="3">
        <v>4</v>
      </c>
      <c r="G5" s="2">
        <v>5</v>
      </c>
      <c r="H5" s="2">
        <v>6</v>
      </c>
      <c r="I5" s="3">
        <v>7</v>
      </c>
      <c r="K5" s="37" t="s">
        <v>72</v>
      </c>
    </row>
    <row r="6" spans="1:13" ht="15.75" customHeight="1" x14ac:dyDescent="0.2">
      <c r="A6" s="7" t="s">
        <v>4</v>
      </c>
      <c r="B6" s="8"/>
      <c r="C6" s="8"/>
      <c r="D6" s="8"/>
      <c r="E6" s="8"/>
      <c r="F6" s="9"/>
      <c r="G6" s="8"/>
      <c r="H6" s="8"/>
      <c r="I6" s="8"/>
      <c r="K6">
        <v>6</v>
      </c>
      <c r="L6" s="37" t="s">
        <v>0</v>
      </c>
    </row>
    <row r="7" spans="1:13" ht="15.75" customHeight="1" x14ac:dyDescent="0.2">
      <c r="A7" s="5" t="s">
        <v>5</v>
      </c>
      <c r="B7" s="10"/>
      <c r="C7" s="10">
        <f>K4*K6</f>
        <v>9000</v>
      </c>
      <c r="D7" s="10">
        <f t="shared" ref="D7:I7" si="0">C7+(C7*$K$8)</f>
        <v>10170</v>
      </c>
      <c r="E7" s="10">
        <f t="shared" si="0"/>
        <v>11492.1</v>
      </c>
      <c r="F7" s="36">
        <f t="shared" si="0"/>
        <v>12986.073</v>
      </c>
      <c r="G7" s="36">
        <f t="shared" si="0"/>
        <v>14674.262490000001</v>
      </c>
      <c r="H7" s="36">
        <f t="shared" si="0"/>
        <v>16581.916613699999</v>
      </c>
      <c r="I7" s="36">
        <f t="shared" si="0"/>
        <v>18737.565773481001</v>
      </c>
      <c r="K7" t="s">
        <v>32</v>
      </c>
    </row>
    <row r="8" spans="1:13" ht="15.75" customHeight="1" x14ac:dyDescent="0.2">
      <c r="A8" s="10" t="s">
        <v>6</v>
      </c>
      <c r="B8" s="10"/>
      <c r="K8">
        <v>0.13</v>
      </c>
    </row>
    <row r="9" spans="1:13" ht="29.25" customHeight="1" x14ac:dyDescent="0.2">
      <c r="A9" s="78" t="s">
        <v>34</v>
      </c>
      <c r="B9" s="10"/>
      <c r="C9" s="10">
        <f t="shared" ref="C9:I9" si="1">-C7*0.59</f>
        <v>-5310</v>
      </c>
      <c r="D9" s="10">
        <f t="shared" si="1"/>
        <v>-6000.2999999999993</v>
      </c>
      <c r="E9" s="36">
        <f t="shared" si="1"/>
        <v>-6780.3389999999999</v>
      </c>
      <c r="F9" s="36">
        <f t="shared" si="1"/>
        <v>-7661.7830699999995</v>
      </c>
      <c r="G9" s="36">
        <f t="shared" si="1"/>
        <v>-8657.8148691000006</v>
      </c>
      <c r="H9" s="36">
        <f t="shared" si="1"/>
        <v>-9783.3308020829991</v>
      </c>
      <c r="I9" s="36">
        <f t="shared" si="1"/>
        <v>-11055.16380635379</v>
      </c>
    </row>
    <row r="10" spans="1:13" ht="15.75" customHeight="1" x14ac:dyDescent="0.2">
      <c r="K10" t="s">
        <v>35</v>
      </c>
    </row>
    <row r="11" spans="1:13" ht="15.75" customHeight="1" x14ac:dyDescent="0.2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K11" s="37" t="s">
        <v>36</v>
      </c>
      <c r="L11">
        <v>0</v>
      </c>
    </row>
    <row r="12" spans="1:13" ht="15.75" customHeight="1" x14ac:dyDescent="0.2">
      <c r="A12" s="11" t="s">
        <v>33</v>
      </c>
      <c r="B12" s="10"/>
      <c r="C12" s="36">
        <f>-$B$25*C4</f>
        <v>-1429</v>
      </c>
      <c r="D12" s="36">
        <f t="shared" ref="D12:I12" si="2">-$B$25*D4</f>
        <v>-2449</v>
      </c>
      <c r="E12" s="36">
        <f t="shared" si="2"/>
        <v>-1749</v>
      </c>
      <c r="F12" s="36">
        <f t="shared" si="2"/>
        <v>-1249</v>
      </c>
      <c r="G12" s="36">
        <f t="shared" si="2"/>
        <v>-893</v>
      </c>
      <c r="H12" s="36">
        <f t="shared" si="2"/>
        <v>-892</v>
      </c>
      <c r="I12" s="36">
        <f t="shared" si="2"/>
        <v>-893</v>
      </c>
      <c r="K12" s="37" t="s">
        <v>37</v>
      </c>
      <c r="L12" s="38">
        <v>0</v>
      </c>
    </row>
    <row r="13" spans="1:13" ht="15.75" customHeight="1" x14ac:dyDescent="0.2">
      <c r="A13" s="11" t="s">
        <v>8</v>
      </c>
      <c r="B13" s="10"/>
      <c r="C13" s="18">
        <f>-$B$26*C4</f>
        <v>-1321.825</v>
      </c>
      <c r="D13" s="18">
        <f t="shared" ref="D13:I13" si="3">-$B$26*D4</f>
        <v>-2265.3250000000003</v>
      </c>
      <c r="E13" s="18">
        <f t="shared" si="3"/>
        <v>-1617.825</v>
      </c>
      <c r="F13" s="18">
        <f t="shared" si="3"/>
        <v>-1155.325</v>
      </c>
      <c r="G13" s="18">
        <f t="shared" si="3"/>
        <v>-826.02500000000009</v>
      </c>
      <c r="H13" s="18">
        <f t="shared" si="3"/>
        <v>-825.1</v>
      </c>
      <c r="I13" s="18">
        <f t="shared" si="3"/>
        <v>-826.02500000000009</v>
      </c>
      <c r="K13" s="37" t="s">
        <v>40</v>
      </c>
      <c r="L13">
        <v>9250</v>
      </c>
      <c r="M13" t="s">
        <v>39</v>
      </c>
    </row>
    <row r="14" spans="1:13" ht="15.75" customHeight="1" x14ac:dyDescent="0.2">
      <c r="A14" s="11" t="s">
        <v>9</v>
      </c>
      <c r="B14" s="10"/>
      <c r="C14" s="10">
        <f>-$C$29*C4</f>
        <v>0</v>
      </c>
      <c r="D14" s="10">
        <f t="shared" ref="D14:I14" si="4">-$C$29*D4</f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K14" s="37" t="s">
        <v>38</v>
      </c>
      <c r="L14" s="38">
        <v>0</v>
      </c>
    </row>
    <row r="15" spans="1:13" ht="15.75" customHeight="1" x14ac:dyDescent="0.2">
      <c r="A15" s="12" t="s">
        <v>10</v>
      </c>
      <c r="B15" s="10"/>
      <c r="C15" s="18">
        <f>SUM(C12:C14)</f>
        <v>-2750.8249999999998</v>
      </c>
      <c r="D15" s="18">
        <f t="shared" ref="D15:I15" si="5">SUM(D12:D14)</f>
        <v>-4714.3250000000007</v>
      </c>
      <c r="E15" s="18">
        <f t="shared" si="5"/>
        <v>-3366.8249999999998</v>
      </c>
      <c r="F15" s="18">
        <f t="shared" si="5"/>
        <v>-2404.3249999999998</v>
      </c>
      <c r="G15" s="18">
        <f t="shared" si="5"/>
        <v>-1719.0250000000001</v>
      </c>
      <c r="H15" s="18">
        <f t="shared" si="5"/>
        <v>-1717.1</v>
      </c>
      <c r="I15" s="18">
        <f t="shared" si="5"/>
        <v>-1719.0250000000001</v>
      </c>
      <c r="K15" s="37" t="s">
        <v>41</v>
      </c>
      <c r="L15">
        <f>SUM(L11:L14)</f>
        <v>9250</v>
      </c>
    </row>
    <row r="16" spans="1:13" ht="15.75" customHeight="1" x14ac:dyDescent="0.2">
      <c r="A16" s="13" t="s">
        <v>11</v>
      </c>
      <c r="B16" s="10"/>
      <c r="C16" s="18">
        <f t="shared" ref="C16:I16" si="6">C7+C9+C15</f>
        <v>939.17500000000018</v>
      </c>
      <c r="D16" s="18">
        <f t="shared" si="6"/>
        <v>-544.625</v>
      </c>
      <c r="E16" s="18">
        <f t="shared" si="6"/>
        <v>1344.9360000000006</v>
      </c>
      <c r="F16" s="18">
        <f t="shared" si="6"/>
        <v>2919.964930000001</v>
      </c>
      <c r="G16" s="18">
        <f t="shared" si="6"/>
        <v>4297.4226209000008</v>
      </c>
      <c r="H16" s="18">
        <f t="shared" si="6"/>
        <v>5081.4858116169999</v>
      </c>
      <c r="I16" s="18">
        <f t="shared" si="6"/>
        <v>5963.3769671272112</v>
      </c>
    </row>
    <row r="17" spans="1:11" ht="15.75" customHeight="1" x14ac:dyDescent="0.2">
      <c r="A17" s="10" t="s">
        <v>69</v>
      </c>
      <c r="B17" s="10"/>
      <c r="C17" s="36">
        <f>-C16*0.15</f>
        <v>-140.87625000000003</v>
      </c>
      <c r="D17" s="36">
        <f t="shared" ref="D17:I17" si="7">-D16*0.15</f>
        <v>81.693749999999994</v>
      </c>
      <c r="E17" s="36">
        <f t="shared" si="7"/>
        <v>-201.74040000000008</v>
      </c>
      <c r="F17" s="36">
        <f t="shared" si="7"/>
        <v>-437.99473950000015</v>
      </c>
      <c r="G17" s="36">
        <f t="shared" si="7"/>
        <v>-644.61339313500014</v>
      </c>
      <c r="H17" s="36">
        <f t="shared" si="7"/>
        <v>-762.22287174254996</v>
      </c>
      <c r="I17" s="36">
        <f t="shared" si="7"/>
        <v>-894.50654506908165</v>
      </c>
      <c r="K17" s="37" t="s">
        <v>67</v>
      </c>
    </row>
    <row r="18" spans="1:11" ht="15.75" customHeight="1" x14ac:dyDescent="0.2">
      <c r="A18" s="13" t="s">
        <v>12</v>
      </c>
      <c r="B18" s="10"/>
      <c r="C18" s="18">
        <f>SUM(C16:C17)</f>
        <v>798.29875000000015</v>
      </c>
      <c r="D18" s="18">
        <f t="shared" ref="D18:I18" si="8">SUM(D16:D17)</f>
        <v>-462.93124999999998</v>
      </c>
      <c r="E18" s="18">
        <f t="shared" si="8"/>
        <v>1143.1956000000005</v>
      </c>
      <c r="F18" s="18">
        <f t="shared" si="8"/>
        <v>2481.9701905000011</v>
      </c>
      <c r="G18" s="18">
        <f t="shared" si="8"/>
        <v>3652.8092277650007</v>
      </c>
      <c r="H18" s="18">
        <f t="shared" si="8"/>
        <v>4319.2629398744502</v>
      </c>
      <c r="I18" s="18">
        <f t="shared" si="8"/>
        <v>5068.8704220581294</v>
      </c>
      <c r="K18" s="37" t="s">
        <v>70</v>
      </c>
    </row>
    <row r="19" spans="1:11" ht="15.75" customHeight="1" x14ac:dyDescent="0.2">
      <c r="A19" s="14"/>
      <c r="B19" s="8"/>
      <c r="C19" s="8"/>
      <c r="D19" s="8"/>
      <c r="E19" s="8"/>
      <c r="F19" s="8"/>
      <c r="G19" s="8"/>
      <c r="H19" s="8"/>
      <c r="I19" s="8"/>
    </row>
    <row r="20" spans="1:11" ht="15.75" customHeight="1" x14ac:dyDescent="0.2">
      <c r="A20" s="1" t="s">
        <v>2</v>
      </c>
      <c r="B20" s="2">
        <v>0</v>
      </c>
      <c r="C20" s="2">
        <v>1</v>
      </c>
      <c r="D20" s="2">
        <v>2</v>
      </c>
      <c r="E20" s="2">
        <v>3</v>
      </c>
      <c r="F20" s="3">
        <v>4</v>
      </c>
      <c r="G20" s="2">
        <v>5</v>
      </c>
      <c r="H20" s="2">
        <v>6</v>
      </c>
      <c r="I20" s="3">
        <v>7</v>
      </c>
    </row>
    <row r="21" spans="1:11" ht="15.75" customHeight="1" x14ac:dyDescent="0.2">
      <c r="A21" s="15" t="s">
        <v>42</v>
      </c>
      <c r="B21" s="16"/>
      <c r="C21" s="16"/>
      <c r="D21" s="16"/>
      <c r="E21" s="16"/>
      <c r="F21" s="17"/>
      <c r="G21" s="8"/>
      <c r="H21" s="8"/>
      <c r="I21" s="8"/>
    </row>
    <row r="22" spans="1:11" ht="15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</row>
    <row r="23" spans="1:11" ht="15.75" customHeight="1" x14ac:dyDescent="0.2">
      <c r="A23" s="10" t="s">
        <v>13</v>
      </c>
      <c r="B23" s="10">
        <f>C9*0.25</f>
        <v>-1327.5</v>
      </c>
      <c r="C23" s="36">
        <f t="shared" ref="C23:H23" si="9">D9*0.25</f>
        <v>-1500.0749999999998</v>
      </c>
      <c r="D23" s="36">
        <f t="shared" si="9"/>
        <v>-1695.08475</v>
      </c>
      <c r="E23" s="36">
        <f t="shared" si="9"/>
        <v>-1915.4457674999999</v>
      </c>
      <c r="F23" s="36">
        <f t="shared" si="9"/>
        <v>-2164.4537172750001</v>
      </c>
      <c r="G23" s="36">
        <f t="shared" si="9"/>
        <v>-2445.8327005207498</v>
      </c>
      <c r="H23" s="36">
        <f t="shared" si="9"/>
        <v>-2763.7909515884476</v>
      </c>
      <c r="I23" s="36">
        <f>J9*0.25</f>
        <v>0</v>
      </c>
    </row>
    <row r="24" spans="1:11" ht="15.75" customHeight="1" x14ac:dyDescent="0.2">
      <c r="A24" s="10" t="s">
        <v>14</v>
      </c>
      <c r="B24" s="10"/>
      <c r="C24" s="10"/>
      <c r="D24" s="10"/>
      <c r="E24" s="10"/>
      <c r="F24" s="10"/>
      <c r="G24" s="10"/>
      <c r="H24" s="10"/>
      <c r="I24" s="10"/>
    </row>
    <row r="25" spans="1:11" ht="15.75" customHeight="1" x14ac:dyDescent="0.2">
      <c r="A25" s="11" t="s">
        <v>33</v>
      </c>
      <c r="B25" s="10">
        <v>10000</v>
      </c>
      <c r="C25" s="36">
        <f>B25+C12</f>
        <v>8571</v>
      </c>
      <c r="D25" s="36">
        <f t="shared" ref="D25:I26" si="10">C25+D12</f>
        <v>6122</v>
      </c>
      <c r="E25" s="10">
        <f t="shared" si="10"/>
        <v>4373</v>
      </c>
      <c r="F25" s="36">
        <f t="shared" si="10"/>
        <v>3124</v>
      </c>
      <c r="G25" s="36">
        <f t="shared" si="10"/>
        <v>2231</v>
      </c>
      <c r="H25" s="10">
        <f t="shared" si="10"/>
        <v>1339</v>
      </c>
      <c r="I25" s="36">
        <f>H25+I12</f>
        <v>446</v>
      </c>
    </row>
    <row r="26" spans="1:11" ht="15.75" customHeight="1" x14ac:dyDescent="0.2">
      <c r="A26" s="11" t="s">
        <v>8</v>
      </c>
      <c r="B26" s="18">
        <f>L15</f>
        <v>9250</v>
      </c>
      <c r="C26" s="18">
        <f>B26+C13</f>
        <v>7928.1750000000002</v>
      </c>
      <c r="D26" s="36">
        <f t="shared" si="10"/>
        <v>5662.85</v>
      </c>
      <c r="E26" s="36">
        <f t="shared" si="10"/>
        <v>4045.0250000000005</v>
      </c>
      <c r="F26" s="36">
        <f t="shared" si="10"/>
        <v>2889.7000000000007</v>
      </c>
      <c r="G26" s="36">
        <f t="shared" si="10"/>
        <v>2063.6750000000006</v>
      </c>
      <c r="H26" s="36">
        <f t="shared" si="10"/>
        <v>1238.5750000000007</v>
      </c>
      <c r="I26" s="36">
        <f t="shared" si="10"/>
        <v>412.55000000000064</v>
      </c>
    </row>
    <row r="27" spans="1:11" ht="15.75" customHeight="1" x14ac:dyDescent="0.2">
      <c r="A27" s="11" t="s">
        <v>9</v>
      </c>
      <c r="B27" s="10"/>
      <c r="C27" s="10"/>
      <c r="D27" s="10"/>
      <c r="E27" s="10"/>
      <c r="F27" s="10"/>
      <c r="G27" s="10"/>
      <c r="H27" s="10"/>
      <c r="I27" s="10"/>
    </row>
    <row r="28" spans="1:11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1" ht="15.75" customHeight="1" x14ac:dyDescent="0.2">
      <c r="A29" s="7" t="s">
        <v>15</v>
      </c>
      <c r="B29" s="19"/>
      <c r="C29" s="19"/>
      <c r="D29" s="19"/>
      <c r="E29" s="19"/>
      <c r="F29" s="20"/>
      <c r="G29" s="8"/>
      <c r="H29" s="8"/>
      <c r="I29" s="8"/>
    </row>
    <row r="30" spans="1:11" ht="15.75" customHeight="1" x14ac:dyDescent="0.2">
      <c r="A30" s="21"/>
      <c r="B30" s="8"/>
      <c r="C30" s="8"/>
      <c r="D30" s="8"/>
      <c r="E30" s="8"/>
      <c r="F30" s="9"/>
      <c r="G30" s="8"/>
      <c r="H30" s="8"/>
      <c r="I30" s="8"/>
    </row>
    <row r="31" spans="1:11" ht="15.75" customHeight="1" x14ac:dyDescent="0.2">
      <c r="A31" s="22"/>
      <c r="B31" s="23" t="s">
        <v>2</v>
      </c>
      <c r="C31" s="23" t="s">
        <v>16</v>
      </c>
      <c r="D31" s="23" t="s">
        <v>17</v>
      </c>
      <c r="E31" s="23" t="s">
        <v>18</v>
      </c>
      <c r="F31" s="24" t="s">
        <v>19</v>
      </c>
      <c r="G31" s="34"/>
      <c r="H31" s="34"/>
      <c r="I31" s="34"/>
    </row>
    <row r="32" spans="1:11" ht="15.75" customHeight="1" x14ac:dyDescent="0.2">
      <c r="A32" s="22"/>
      <c r="B32" s="23"/>
      <c r="C32" s="23"/>
      <c r="D32" s="23"/>
      <c r="E32" s="23"/>
      <c r="F32" s="24"/>
      <c r="G32" s="34"/>
      <c r="H32" s="34"/>
      <c r="I32" s="34"/>
    </row>
    <row r="33" spans="1:9" ht="15.75" customHeight="1" x14ac:dyDescent="0.2">
      <c r="A33" s="11" t="s">
        <v>33</v>
      </c>
      <c r="B33" s="25">
        <v>7</v>
      </c>
      <c r="C33" s="26">
        <v>5000</v>
      </c>
      <c r="D33" s="26">
        <f>I25</f>
        <v>446</v>
      </c>
      <c r="E33" s="25">
        <v>0.05</v>
      </c>
      <c r="F33" s="39">
        <f>C33-(C33-D33)*E33</f>
        <v>4772.3</v>
      </c>
      <c r="G33" s="35"/>
      <c r="H33" s="35"/>
      <c r="I33" s="35"/>
    </row>
    <row r="34" spans="1:9" ht="15.75" customHeight="1" x14ac:dyDescent="0.2">
      <c r="A34" s="11" t="s">
        <v>8</v>
      </c>
      <c r="B34" s="25">
        <v>7</v>
      </c>
      <c r="C34" s="26">
        <v>5000</v>
      </c>
      <c r="D34" s="26">
        <f>I26</f>
        <v>412.55000000000064</v>
      </c>
      <c r="E34" s="25">
        <v>0.05</v>
      </c>
      <c r="F34" s="39">
        <f t="shared" ref="F34" si="11">C34-(C34-D34)*E34</f>
        <v>4770.6275000000005</v>
      </c>
      <c r="G34" s="35"/>
      <c r="H34" s="35"/>
      <c r="I34" s="35"/>
    </row>
    <row r="35" spans="1:9" ht="15.75" customHeight="1" x14ac:dyDescent="0.2">
      <c r="A35" s="11" t="s">
        <v>9</v>
      </c>
      <c r="B35" s="25"/>
      <c r="C35" s="26"/>
      <c r="D35" s="27"/>
      <c r="E35" s="25"/>
      <c r="F35" s="27"/>
      <c r="G35" s="35"/>
      <c r="H35" s="35"/>
      <c r="I35" s="35"/>
    </row>
    <row r="36" spans="1:9" ht="15.75" customHeight="1" x14ac:dyDescent="0.2">
      <c r="A36" s="11" t="s">
        <v>9</v>
      </c>
      <c r="B36" s="25"/>
      <c r="C36" s="26"/>
      <c r="D36" s="27"/>
      <c r="E36" s="25"/>
      <c r="F36" s="27"/>
      <c r="G36" s="35"/>
      <c r="H36" s="35"/>
      <c r="I36" s="35"/>
    </row>
    <row r="37" spans="1:9" ht="15.75" customHeight="1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9" ht="15.75" customHeight="1" x14ac:dyDescent="0.2">
      <c r="A38" s="1" t="s">
        <v>2</v>
      </c>
      <c r="B38" s="2">
        <v>0</v>
      </c>
      <c r="C38" s="2">
        <v>1</v>
      </c>
      <c r="D38" s="2">
        <v>2</v>
      </c>
      <c r="E38" s="2">
        <v>3</v>
      </c>
      <c r="F38" s="3">
        <v>4</v>
      </c>
      <c r="G38" s="2">
        <v>5</v>
      </c>
      <c r="H38" s="2">
        <v>6</v>
      </c>
      <c r="I38" s="3">
        <v>7</v>
      </c>
    </row>
    <row r="39" spans="1:9" ht="15.75" customHeight="1" x14ac:dyDescent="0.2">
      <c r="A39" s="15" t="s">
        <v>20</v>
      </c>
      <c r="B39" s="16"/>
      <c r="C39" s="16"/>
      <c r="D39" s="16"/>
      <c r="E39" s="16"/>
      <c r="F39" s="17"/>
      <c r="G39" s="8"/>
      <c r="H39" s="8"/>
      <c r="I39" s="8"/>
    </row>
    <row r="40" spans="1:9" ht="15.75" customHeight="1" x14ac:dyDescent="0.2">
      <c r="A40" s="10" t="s">
        <v>21</v>
      </c>
      <c r="B40" s="10"/>
      <c r="C40" s="18">
        <f>C16</f>
        <v>939.17500000000018</v>
      </c>
      <c r="D40" s="36">
        <f t="shared" ref="D40:I40" si="12">D16</f>
        <v>-544.625</v>
      </c>
      <c r="E40" s="36">
        <f t="shared" si="12"/>
        <v>1344.9360000000006</v>
      </c>
      <c r="F40" s="36">
        <f t="shared" si="12"/>
        <v>2919.964930000001</v>
      </c>
      <c r="G40" s="36">
        <f t="shared" si="12"/>
        <v>4297.4226209000008</v>
      </c>
      <c r="H40" s="36">
        <f t="shared" si="12"/>
        <v>5081.4858116169999</v>
      </c>
      <c r="I40" s="36">
        <f t="shared" si="12"/>
        <v>5963.3769671272112</v>
      </c>
    </row>
    <row r="41" spans="1:9" ht="15.75" customHeight="1" x14ac:dyDescent="0.2">
      <c r="A41" s="13" t="s">
        <v>22</v>
      </c>
      <c r="B41" s="10"/>
      <c r="C41" s="18">
        <f>-C15</f>
        <v>2750.8249999999998</v>
      </c>
      <c r="D41" s="18">
        <f t="shared" ref="D41:I41" si="13">-D15</f>
        <v>4714.3250000000007</v>
      </c>
      <c r="E41" s="18">
        <f t="shared" si="13"/>
        <v>3366.8249999999998</v>
      </c>
      <c r="F41" s="18">
        <f t="shared" si="13"/>
        <v>2404.3249999999998</v>
      </c>
      <c r="G41" s="18">
        <f t="shared" si="13"/>
        <v>1719.0250000000001</v>
      </c>
      <c r="H41" s="18">
        <f t="shared" si="13"/>
        <v>1717.1</v>
      </c>
      <c r="I41" s="18">
        <f t="shared" si="13"/>
        <v>1719.0250000000001</v>
      </c>
    </row>
    <row r="42" spans="1:9" ht="15.75" customHeight="1" x14ac:dyDescent="0.2">
      <c r="A42" s="13" t="s">
        <v>23</v>
      </c>
      <c r="B42" s="10"/>
      <c r="C42" s="18">
        <f>C17</f>
        <v>-140.87625000000003</v>
      </c>
      <c r="D42" s="18">
        <f t="shared" ref="D42:I42" si="14">D17</f>
        <v>81.693749999999994</v>
      </c>
      <c r="E42" s="18">
        <f t="shared" si="14"/>
        <v>-201.74040000000008</v>
      </c>
      <c r="F42" s="18">
        <f t="shared" si="14"/>
        <v>-437.99473950000015</v>
      </c>
      <c r="G42" s="18">
        <f t="shared" si="14"/>
        <v>-644.61339313500014</v>
      </c>
      <c r="H42" s="18">
        <f t="shared" si="14"/>
        <v>-762.22287174254996</v>
      </c>
      <c r="I42" s="18">
        <f t="shared" si="14"/>
        <v>-894.50654506908165</v>
      </c>
    </row>
    <row r="43" spans="1:9" ht="15.75" customHeight="1" x14ac:dyDescent="0.2">
      <c r="A43" s="13" t="s">
        <v>24</v>
      </c>
      <c r="B43" s="10"/>
      <c r="C43" s="18">
        <f>SUM(C40:C42)</f>
        <v>3549.1237499999997</v>
      </c>
      <c r="D43" s="18">
        <f t="shared" ref="D43:I43" si="15">SUM(D40:D42)</f>
        <v>4251.3937500000011</v>
      </c>
      <c r="E43" s="18">
        <f t="shared" si="15"/>
        <v>4510.0206000000007</v>
      </c>
      <c r="F43" s="18">
        <f t="shared" si="15"/>
        <v>4886.2951905000009</v>
      </c>
      <c r="G43" s="18">
        <f t="shared" si="15"/>
        <v>5371.8342277649999</v>
      </c>
      <c r="H43" s="18">
        <f t="shared" si="15"/>
        <v>6036.3629398744506</v>
      </c>
      <c r="I43" s="18">
        <f t="shared" si="15"/>
        <v>6787.895422058129</v>
      </c>
    </row>
    <row r="44" spans="1:9" ht="15.75" customHeight="1" x14ac:dyDescent="0.2">
      <c r="A44" s="13" t="s">
        <v>25</v>
      </c>
      <c r="B44" s="18">
        <f>B23</f>
        <v>-1327.5</v>
      </c>
      <c r="C44" s="18">
        <f>C23-B23</f>
        <v>-172.57499999999982</v>
      </c>
      <c r="D44" s="18">
        <f t="shared" ref="D44:I44" si="16">D23-C23</f>
        <v>-195.00975000000017</v>
      </c>
      <c r="E44" s="18">
        <f t="shared" si="16"/>
        <v>-220.36101749999989</v>
      </c>
      <c r="F44" s="18">
        <f t="shared" si="16"/>
        <v>-249.00794977500027</v>
      </c>
      <c r="G44" s="18">
        <f t="shared" si="16"/>
        <v>-281.37898324574962</v>
      </c>
      <c r="H44" s="18">
        <f t="shared" si="16"/>
        <v>-317.9582510676978</v>
      </c>
      <c r="I44" s="18">
        <f t="shared" si="16"/>
        <v>2763.7909515884476</v>
      </c>
    </row>
    <row r="45" spans="1:9" ht="15.75" customHeight="1" x14ac:dyDescent="0.2">
      <c r="A45" s="13" t="s">
        <v>26</v>
      </c>
      <c r="B45" s="28"/>
      <c r="C45" s="18"/>
      <c r="D45" s="18"/>
      <c r="E45" s="18"/>
      <c r="F45" s="18"/>
      <c r="G45" s="18"/>
      <c r="H45" s="18"/>
      <c r="I45" s="18"/>
    </row>
    <row r="46" spans="1:9" ht="15.75" customHeight="1" x14ac:dyDescent="0.2">
      <c r="A46" s="11" t="s">
        <v>33</v>
      </c>
      <c r="B46" s="18">
        <f>-B25</f>
        <v>-10000</v>
      </c>
      <c r="C46" s="18"/>
      <c r="D46" s="18"/>
      <c r="E46" s="18"/>
      <c r="F46" s="18"/>
      <c r="G46" s="18"/>
      <c r="H46" s="18"/>
      <c r="I46" s="18">
        <f>F33</f>
        <v>4772.3</v>
      </c>
    </row>
    <row r="47" spans="1:9" ht="15.75" customHeight="1" x14ac:dyDescent="0.2">
      <c r="A47" s="11" t="s">
        <v>43</v>
      </c>
      <c r="B47" s="18">
        <f>-B26</f>
        <v>-9250</v>
      </c>
      <c r="C47" s="18"/>
      <c r="D47" s="18"/>
      <c r="E47" s="18"/>
      <c r="F47" s="18"/>
      <c r="G47" s="18"/>
      <c r="H47" s="18"/>
      <c r="I47" s="18">
        <f>F34</f>
        <v>4770.6275000000005</v>
      </c>
    </row>
    <row r="48" spans="1:9" ht="15.75" customHeight="1" x14ac:dyDescent="0.2">
      <c r="A48" s="11" t="s">
        <v>44</v>
      </c>
      <c r="B48" s="18"/>
      <c r="C48" s="18"/>
      <c r="D48" s="18"/>
      <c r="E48" s="18"/>
      <c r="F48" s="18"/>
      <c r="G48" s="18"/>
      <c r="H48" s="18"/>
      <c r="I48" s="18"/>
    </row>
    <row r="49" spans="1:9" ht="15.75" customHeight="1" x14ac:dyDescent="0.2">
      <c r="A49" s="11"/>
      <c r="B49" s="28"/>
      <c r="C49" s="18"/>
      <c r="D49" s="18"/>
      <c r="E49" s="18"/>
      <c r="F49" s="18"/>
      <c r="G49" s="18"/>
      <c r="H49" s="18"/>
      <c r="I49" s="18"/>
    </row>
    <row r="50" spans="1:9" ht="15.75" customHeight="1" x14ac:dyDescent="0.2">
      <c r="A50" s="29" t="s">
        <v>27</v>
      </c>
      <c r="B50" s="30"/>
      <c r="C50" s="30"/>
      <c r="D50" s="30"/>
      <c r="E50" s="30"/>
      <c r="F50" s="30"/>
      <c r="G50" s="30"/>
      <c r="H50" s="30"/>
      <c r="I50" s="30"/>
    </row>
    <row r="51" spans="1:9" ht="15.75" customHeight="1" x14ac:dyDescent="0.2">
      <c r="A51" s="4"/>
      <c r="B51" s="4">
        <f>SUM(B43:B48)</f>
        <v>-20577.5</v>
      </c>
      <c r="C51" s="32">
        <f t="shared" ref="C51:E51" si="17">SUM(C43:C48)</f>
        <v>3376.5487499999999</v>
      </c>
      <c r="D51" s="32">
        <f t="shared" si="17"/>
        <v>4056.3840000000009</v>
      </c>
      <c r="E51" s="32">
        <f t="shared" si="17"/>
        <v>4289.6595825000004</v>
      </c>
      <c r="F51" s="40">
        <f>SUM(F43:F48)</f>
        <v>4637.2872407250006</v>
      </c>
      <c r="G51" s="40">
        <f t="shared" ref="G51:H51" si="18">SUM(G43:G48)</f>
        <v>5090.4552445192503</v>
      </c>
      <c r="H51" s="40">
        <f t="shared" si="18"/>
        <v>5718.4046888067533</v>
      </c>
      <c r="I51" s="40">
        <f>SUM(I43:I48)</f>
        <v>19094.61387364658</v>
      </c>
    </row>
    <row r="52" spans="1:9" ht="15.75" customHeight="1" x14ac:dyDescent="0.2">
      <c r="A52" s="11" t="s">
        <v>68</v>
      </c>
      <c r="B52" s="4"/>
      <c r="C52" s="4"/>
      <c r="D52" s="4"/>
      <c r="E52" s="4"/>
      <c r="F52" s="4"/>
      <c r="G52" s="4"/>
      <c r="H52" s="4"/>
      <c r="I52" s="4"/>
    </row>
    <row r="53" spans="1:9" ht="15.75" customHeight="1" x14ac:dyDescent="0.2">
      <c r="A53" s="31">
        <f>NPV(0.08,C51:I51)+B51</f>
        <v>11050.011188839355</v>
      </c>
      <c r="B53" s="4"/>
      <c r="C53" s="4"/>
      <c r="D53" s="4"/>
      <c r="E53" s="4"/>
      <c r="F53" s="4"/>
      <c r="G53" s="4"/>
      <c r="H53" s="4"/>
      <c r="I53" s="4"/>
    </row>
    <row r="54" spans="1:9" ht="15.75" customHeight="1" x14ac:dyDescent="0.2">
      <c r="A54" s="4" t="s">
        <v>28</v>
      </c>
      <c r="B54" s="4"/>
      <c r="C54" s="4"/>
      <c r="D54" s="4"/>
      <c r="E54" s="4"/>
      <c r="F54" s="4"/>
      <c r="G54" s="4"/>
      <c r="H54" s="4"/>
      <c r="I54" s="4"/>
    </row>
    <row r="55" spans="1:9" ht="15.75" customHeight="1" x14ac:dyDescent="0.2">
      <c r="A55" s="32">
        <f>NPV(0.08,C51:I51)/-B51</f>
        <v>1.5369948336211567</v>
      </c>
      <c r="B55" s="4"/>
      <c r="C55" s="4"/>
      <c r="D55" s="4"/>
      <c r="E55" s="4"/>
      <c r="F55" s="4"/>
      <c r="G55" s="4"/>
      <c r="H55" s="4"/>
      <c r="I55" s="4"/>
    </row>
    <row r="56" spans="1:9" ht="15.75" customHeight="1" x14ac:dyDescent="0.2">
      <c r="A56" s="4" t="s">
        <v>29</v>
      </c>
      <c r="B56" s="4"/>
      <c r="C56" s="4"/>
      <c r="D56" s="4"/>
      <c r="E56" s="4"/>
      <c r="F56" s="4"/>
      <c r="G56" s="4"/>
      <c r="H56" s="4"/>
      <c r="I56" s="4"/>
    </row>
    <row r="57" spans="1:9" ht="15.75" customHeight="1" x14ac:dyDescent="0.2">
      <c r="A57" s="33">
        <f>IRR(B51:I51)</f>
        <v>0.18703671122668353</v>
      </c>
      <c r="B57" s="4"/>
      <c r="C57" s="4"/>
      <c r="D57" s="4"/>
      <c r="E57" s="4"/>
      <c r="F57" s="4"/>
      <c r="G57" s="4"/>
      <c r="H57" s="4"/>
      <c r="I57" s="4"/>
    </row>
  </sheetData>
  <hyperlinks>
    <hyperlink ref="A52" r:id="rId1" display="NPV@10%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16" sqref="F16"/>
    </sheetView>
  </sheetViews>
  <sheetFormatPr defaultRowHeight="12.75" x14ac:dyDescent="0.2"/>
  <cols>
    <col min="3" max="3" width="11.140625" bestFit="1" customWidth="1"/>
    <col min="5" max="5" width="11.140625" customWidth="1"/>
    <col min="6" max="6" width="12.42578125" customWidth="1"/>
  </cols>
  <sheetData>
    <row r="1" spans="1:13" ht="20.25" x14ac:dyDescent="0.3">
      <c r="A1" s="41" t="s">
        <v>93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5" x14ac:dyDescent="0.2">
      <c r="A2" s="43"/>
      <c r="B2" s="44"/>
      <c r="C2" s="44"/>
      <c r="D2" s="44"/>
      <c r="E2" s="44"/>
      <c r="F2" s="42"/>
      <c r="G2" s="42"/>
      <c r="H2" s="42"/>
      <c r="I2" s="42"/>
      <c r="J2" s="42"/>
      <c r="K2" s="42"/>
    </row>
    <row r="3" spans="1:13" ht="25.5" x14ac:dyDescent="0.2">
      <c r="A3" s="45" t="s">
        <v>64</v>
      </c>
      <c r="B3" s="45"/>
      <c r="C3" s="45"/>
      <c r="D3" s="46" t="s">
        <v>56</v>
      </c>
      <c r="E3" s="46" t="s">
        <v>57</v>
      </c>
      <c r="F3" s="46" t="s">
        <v>74</v>
      </c>
      <c r="G3" s="46" t="s">
        <v>58</v>
      </c>
      <c r="H3" s="46" t="s">
        <v>59</v>
      </c>
      <c r="I3" s="46" t="s">
        <v>60</v>
      </c>
      <c r="J3" s="46" t="s">
        <v>61</v>
      </c>
      <c r="K3" s="46" t="s">
        <v>75</v>
      </c>
    </row>
    <row r="4" spans="1:13" x14ac:dyDescent="0.2">
      <c r="A4" s="37" t="s">
        <v>76</v>
      </c>
      <c r="B4" s="37"/>
      <c r="C4" s="37"/>
      <c r="D4" s="63">
        <v>200</v>
      </c>
      <c r="E4" s="64">
        <v>200</v>
      </c>
      <c r="F4" s="65">
        <v>200</v>
      </c>
      <c r="G4" s="65">
        <v>200</v>
      </c>
      <c r="H4" s="65">
        <v>200</v>
      </c>
      <c r="I4" s="65">
        <v>200</v>
      </c>
      <c r="J4" s="65">
        <v>200</v>
      </c>
      <c r="K4" s="66">
        <v>200</v>
      </c>
      <c r="M4" s="77"/>
    </row>
    <row r="5" spans="1:13" x14ac:dyDescent="0.2">
      <c r="A5" s="47" t="s">
        <v>46</v>
      </c>
      <c r="B5" s="37"/>
      <c r="C5" s="37"/>
      <c r="D5" s="67">
        <v>1</v>
      </c>
      <c r="E5" s="68">
        <v>1</v>
      </c>
      <c r="F5" s="68">
        <v>1</v>
      </c>
      <c r="G5" s="69">
        <v>1</v>
      </c>
      <c r="H5" s="69">
        <v>1</v>
      </c>
      <c r="I5" s="68">
        <v>1</v>
      </c>
      <c r="J5" s="68">
        <v>1</v>
      </c>
      <c r="K5" s="70">
        <v>1</v>
      </c>
    </row>
    <row r="6" spans="1:13" x14ac:dyDescent="0.2">
      <c r="A6" s="48" t="s">
        <v>47</v>
      </c>
      <c r="B6" s="48"/>
      <c r="C6" s="48"/>
      <c r="D6" s="71">
        <v>1</v>
      </c>
      <c r="E6" s="72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3">
        <v>1</v>
      </c>
    </row>
    <row r="7" spans="1:13" x14ac:dyDescent="0.2">
      <c r="A7" s="49" t="s">
        <v>48</v>
      </c>
      <c r="B7" s="49"/>
      <c r="C7" s="49"/>
      <c r="D7" s="74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6">
        <v>1</v>
      </c>
    </row>
    <row r="8" spans="1:13" x14ac:dyDescent="0.2">
      <c r="A8" s="37" t="s">
        <v>49</v>
      </c>
      <c r="B8" s="37"/>
      <c r="C8" s="37"/>
      <c r="D8" s="67">
        <v>1</v>
      </c>
      <c r="E8" s="68">
        <v>1</v>
      </c>
      <c r="F8" s="68">
        <v>1</v>
      </c>
      <c r="G8" s="68">
        <v>1</v>
      </c>
      <c r="H8" s="68">
        <v>1</v>
      </c>
      <c r="I8" s="68">
        <v>1</v>
      </c>
      <c r="J8" s="68">
        <v>1</v>
      </c>
      <c r="K8" s="70">
        <v>1</v>
      </c>
    </row>
    <row r="9" spans="1:13" x14ac:dyDescent="0.2">
      <c r="A9" s="37" t="s">
        <v>50</v>
      </c>
      <c r="B9" s="37"/>
      <c r="C9" s="37"/>
      <c r="D9" s="67">
        <v>6</v>
      </c>
      <c r="E9" s="68">
        <v>6</v>
      </c>
      <c r="F9" s="68">
        <v>6</v>
      </c>
      <c r="G9" s="68">
        <v>6</v>
      </c>
      <c r="H9" s="68">
        <v>6</v>
      </c>
      <c r="I9" s="68">
        <v>6</v>
      </c>
      <c r="J9" s="68">
        <v>6</v>
      </c>
      <c r="K9" s="70">
        <v>6</v>
      </c>
    </row>
    <row r="10" spans="1:13" x14ac:dyDescent="0.2">
      <c r="A10" s="47" t="s">
        <v>51</v>
      </c>
      <c r="B10" s="37"/>
      <c r="C10" s="37"/>
      <c r="D10" s="50">
        <f>D7*D8*D9*8</f>
        <v>48</v>
      </c>
      <c r="E10" s="51">
        <f t="shared" ref="E10:K10" si="0">E7*E8*E9*8</f>
        <v>48</v>
      </c>
      <c r="F10" s="51">
        <f t="shared" si="0"/>
        <v>48</v>
      </c>
      <c r="G10" s="51">
        <f t="shared" si="0"/>
        <v>48</v>
      </c>
      <c r="H10" s="51">
        <f t="shared" si="0"/>
        <v>48</v>
      </c>
      <c r="I10" s="51">
        <f t="shared" si="0"/>
        <v>48</v>
      </c>
      <c r="J10" s="51">
        <f t="shared" si="0"/>
        <v>48</v>
      </c>
      <c r="K10" s="52">
        <f t="shared" si="0"/>
        <v>48</v>
      </c>
    </row>
    <row r="11" spans="1:13" x14ac:dyDescent="0.2">
      <c r="A11" s="4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3" x14ac:dyDescent="0.2">
      <c r="A12" s="53" t="s">
        <v>62</v>
      </c>
      <c r="B12" s="53"/>
      <c r="C12" s="53"/>
      <c r="D12" s="53">
        <f>D10*D4/D5</f>
        <v>9600</v>
      </c>
      <c r="E12" s="53">
        <f t="shared" ref="E12:K12" si="1">E10*E4/E5</f>
        <v>9600</v>
      </c>
      <c r="F12" s="53">
        <f t="shared" si="1"/>
        <v>9600</v>
      </c>
      <c r="G12" s="53">
        <f t="shared" si="1"/>
        <v>9600</v>
      </c>
      <c r="H12" s="53">
        <f t="shared" si="1"/>
        <v>9600</v>
      </c>
      <c r="I12" s="53">
        <f>I10*I4/I5</f>
        <v>9600</v>
      </c>
      <c r="J12" s="53">
        <f t="shared" si="1"/>
        <v>9600</v>
      </c>
      <c r="K12" s="53">
        <f t="shared" si="1"/>
        <v>9600</v>
      </c>
    </row>
    <row r="13" spans="1:13" x14ac:dyDescent="0.2">
      <c r="A13" s="53" t="s">
        <v>63</v>
      </c>
      <c r="B13" s="53"/>
      <c r="C13" s="53"/>
      <c r="D13" s="53">
        <f>D12*D6</f>
        <v>9600</v>
      </c>
      <c r="E13" s="53">
        <f t="shared" ref="E13:K13" si="2">E12*E6</f>
        <v>9600</v>
      </c>
      <c r="F13" s="53">
        <f t="shared" si="2"/>
        <v>9600</v>
      </c>
      <c r="G13" s="53">
        <f t="shared" si="2"/>
        <v>9600</v>
      </c>
      <c r="H13" s="53">
        <f t="shared" si="2"/>
        <v>9600</v>
      </c>
      <c r="I13" s="53">
        <f t="shared" si="2"/>
        <v>9600</v>
      </c>
      <c r="J13" s="53">
        <f t="shared" si="2"/>
        <v>9600</v>
      </c>
      <c r="K13" s="53">
        <f t="shared" si="2"/>
        <v>9600</v>
      </c>
    </row>
    <row r="14" spans="1:13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3" x14ac:dyDescent="0.2">
      <c r="A15" s="54" t="s">
        <v>65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3" x14ac:dyDescent="0.2">
      <c r="A16" s="55" t="s">
        <v>52</v>
      </c>
      <c r="B16" s="53"/>
      <c r="C16" s="53"/>
      <c r="D16" s="53">
        <f>D13*PRODUCT(E6:$K6)</f>
        <v>9600</v>
      </c>
      <c r="E16" s="53">
        <f>E13*PRODUCT(F6:$K6)</f>
        <v>9600</v>
      </c>
      <c r="F16" s="53">
        <f>F13*PRODUCT(G6:$K6)</f>
        <v>9600</v>
      </c>
      <c r="G16" s="53">
        <f>G13*PRODUCT(H6:$K6)</f>
        <v>9600</v>
      </c>
      <c r="H16" s="53">
        <f>H13*PRODUCT(I6:$K6)</f>
        <v>9600</v>
      </c>
      <c r="I16" s="53">
        <f>I13*PRODUCT(J6:$K6)</f>
        <v>9600</v>
      </c>
      <c r="J16" s="53">
        <f>J13*PRODUCT(K6:$K6)</f>
        <v>9600</v>
      </c>
      <c r="K16" s="53">
        <f>K13*PRODUCT($K6:K6)</f>
        <v>9600</v>
      </c>
    </row>
    <row r="17" spans="1:11" x14ac:dyDescent="0.2">
      <c r="A17" s="56" t="s">
        <v>53</v>
      </c>
      <c r="B17" s="49"/>
      <c r="C17" s="49"/>
      <c r="D17" s="49">
        <f>D16/7</f>
        <v>1371.4285714285713</v>
      </c>
      <c r="E17" s="49">
        <f t="shared" ref="E17:K17" si="3">E16/7</f>
        <v>1371.4285714285713</v>
      </c>
      <c r="F17" s="49">
        <f t="shared" si="3"/>
        <v>1371.4285714285713</v>
      </c>
      <c r="G17" s="49">
        <f t="shared" si="3"/>
        <v>1371.4285714285713</v>
      </c>
      <c r="H17" s="49">
        <f t="shared" si="3"/>
        <v>1371.4285714285713</v>
      </c>
      <c r="I17" s="49">
        <f t="shared" si="3"/>
        <v>1371.4285714285713</v>
      </c>
      <c r="J17" s="49">
        <f t="shared" si="3"/>
        <v>1371.4285714285713</v>
      </c>
      <c r="K17" s="49">
        <f t="shared" si="3"/>
        <v>1371.4285714285713</v>
      </c>
    </row>
    <row r="18" spans="1:1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x14ac:dyDescent="0.2">
      <c r="A20" s="37" t="s">
        <v>54</v>
      </c>
      <c r="B20" s="37"/>
      <c r="C20" s="57">
        <f>MIN(D17:K17)</f>
        <v>1371.4285714285713</v>
      </c>
      <c r="D20" s="58" t="s">
        <v>77</v>
      </c>
      <c r="E20" s="59"/>
      <c r="F20" s="59"/>
      <c r="G20" s="60"/>
      <c r="H20" s="47"/>
      <c r="I20" s="37"/>
      <c r="J20" s="37"/>
      <c r="K20" s="37"/>
    </row>
    <row r="21" spans="1:11" x14ac:dyDescent="0.2">
      <c r="A21" s="37"/>
      <c r="B21" s="37"/>
      <c r="C21" s="61">
        <f>C20*365*E21</f>
        <v>4254857.1428571427</v>
      </c>
      <c r="D21" s="59" t="s">
        <v>55</v>
      </c>
      <c r="E21" s="62">
        <v>8.5</v>
      </c>
      <c r="F21" s="59" t="s">
        <v>66</v>
      </c>
      <c r="G21" s="59"/>
      <c r="H21" s="37"/>
      <c r="I21" s="37"/>
      <c r="J21" s="37"/>
      <c r="K21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zoomScale="90" zoomScaleNormal="90" workbookViewId="0">
      <selection activeCell="M28" sqref="M28"/>
    </sheetView>
  </sheetViews>
  <sheetFormatPr defaultRowHeight="12.75" x14ac:dyDescent="0.2"/>
  <cols>
    <col min="1" max="1" width="34" customWidth="1"/>
    <col min="3" max="4" width="13.28515625" bestFit="1" customWidth="1"/>
    <col min="5" max="5" width="12.5703125" bestFit="1" customWidth="1"/>
    <col min="6" max="9" width="11" bestFit="1" customWidth="1"/>
    <col min="10" max="10" width="39.28515625" customWidth="1"/>
  </cols>
  <sheetData>
    <row r="1" spans="1:11" x14ac:dyDescent="0.2">
      <c r="A1" s="1" t="s">
        <v>2</v>
      </c>
      <c r="B1" s="2">
        <v>0</v>
      </c>
      <c r="C1" s="2">
        <v>1</v>
      </c>
      <c r="D1" s="2">
        <v>2</v>
      </c>
      <c r="E1" s="2">
        <v>3</v>
      </c>
      <c r="F1" s="3">
        <v>4</v>
      </c>
      <c r="G1" s="2">
        <v>5</v>
      </c>
      <c r="H1" s="2">
        <v>6</v>
      </c>
      <c r="I1" s="2">
        <v>7</v>
      </c>
      <c r="J1" s="30" t="s">
        <v>87</v>
      </c>
      <c r="K1" s="90"/>
    </row>
    <row r="2" spans="1:11" x14ac:dyDescent="0.2">
      <c r="A2" s="4" t="s">
        <v>3</v>
      </c>
      <c r="B2" s="5"/>
      <c r="C2" s="5"/>
      <c r="D2" s="5"/>
      <c r="E2" s="5"/>
      <c r="F2" s="5"/>
      <c r="G2" s="5"/>
      <c r="H2" s="5"/>
      <c r="I2" s="84"/>
      <c r="J2" s="90" t="s">
        <v>30</v>
      </c>
      <c r="K2" s="90"/>
    </row>
    <row r="3" spans="1:11" x14ac:dyDescent="0.2">
      <c r="A3" s="6"/>
      <c r="B3" s="5"/>
      <c r="C3" s="5">
        <v>0.1429</v>
      </c>
      <c r="D3" s="5">
        <v>0.24490000000000001</v>
      </c>
      <c r="E3" s="5">
        <v>0.1749</v>
      </c>
      <c r="F3" s="5">
        <v>0.1249</v>
      </c>
      <c r="G3" s="5">
        <v>8.9300000000000004E-2</v>
      </c>
      <c r="H3" s="5">
        <v>8.9200000000000002E-2</v>
      </c>
      <c r="I3" s="84">
        <v>8.9300000000000004E-2</v>
      </c>
      <c r="J3" s="90">
        <v>20000</v>
      </c>
      <c r="K3" s="90"/>
    </row>
    <row r="4" spans="1:11" x14ac:dyDescent="0.2">
      <c r="A4" s="1" t="s">
        <v>2</v>
      </c>
      <c r="B4" s="2">
        <v>0</v>
      </c>
      <c r="C4" s="2">
        <v>1</v>
      </c>
      <c r="D4" s="2">
        <v>2</v>
      </c>
      <c r="E4" s="2">
        <v>3</v>
      </c>
      <c r="F4" s="3">
        <v>4</v>
      </c>
      <c r="G4" s="2">
        <v>5</v>
      </c>
      <c r="H4" s="2">
        <v>6</v>
      </c>
      <c r="I4" s="2">
        <v>7</v>
      </c>
      <c r="J4" s="90" t="s">
        <v>31</v>
      </c>
      <c r="K4" s="90"/>
    </row>
    <row r="5" spans="1:11" x14ac:dyDescent="0.2">
      <c r="A5" s="82" t="s">
        <v>88</v>
      </c>
      <c r="B5" s="8"/>
      <c r="C5" s="8"/>
      <c r="D5" s="8"/>
      <c r="E5" s="8"/>
      <c r="F5" s="9"/>
      <c r="G5" s="8"/>
      <c r="H5" s="8"/>
      <c r="I5" s="8"/>
      <c r="J5" s="90">
        <v>8.4700000000000006</v>
      </c>
      <c r="K5" s="91" t="s">
        <v>0</v>
      </c>
    </row>
    <row r="6" spans="1:11" x14ac:dyDescent="0.2">
      <c r="A6" s="5" t="s">
        <v>5</v>
      </c>
      <c r="B6" s="10"/>
      <c r="C6" s="10">
        <v>169400</v>
      </c>
      <c r="D6" s="10">
        <v>194810</v>
      </c>
      <c r="E6" s="10">
        <v>224031.5</v>
      </c>
      <c r="F6" s="36">
        <v>257636.22500000001</v>
      </c>
      <c r="G6" s="36">
        <v>296281.65875</v>
      </c>
      <c r="H6" s="36">
        <v>340723.90756249998</v>
      </c>
      <c r="I6" s="85">
        <v>391832.493696875</v>
      </c>
      <c r="J6" s="90" t="s">
        <v>32</v>
      </c>
      <c r="K6" s="90"/>
    </row>
    <row r="7" spans="1:11" x14ac:dyDescent="0.2">
      <c r="A7" s="10" t="s">
        <v>6</v>
      </c>
      <c r="B7" s="10"/>
      <c r="I7" s="86"/>
      <c r="J7" s="90">
        <v>0.15</v>
      </c>
      <c r="K7" s="90"/>
    </row>
    <row r="8" spans="1:11" ht="12" customHeight="1" x14ac:dyDescent="0.2">
      <c r="A8" s="78" t="s">
        <v>34</v>
      </c>
      <c r="B8" s="10"/>
      <c r="C8" s="10">
        <v>-99946</v>
      </c>
      <c r="D8" s="10">
        <v>-114937.9</v>
      </c>
      <c r="E8" s="36">
        <v>-132178.58499999999</v>
      </c>
      <c r="F8" s="36">
        <v>-152005.37275000001</v>
      </c>
      <c r="G8" s="36">
        <v>-174806.17866249999</v>
      </c>
      <c r="H8" s="36">
        <v>-201027.10546187498</v>
      </c>
      <c r="I8" s="85">
        <v>-231181.17128115625</v>
      </c>
      <c r="J8" s="90" t="s">
        <v>84</v>
      </c>
      <c r="K8" s="90">
        <v>0.15</v>
      </c>
    </row>
    <row r="9" spans="1:11" x14ac:dyDescent="0.2">
      <c r="A9" s="79" t="s">
        <v>78</v>
      </c>
      <c r="B9" s="79"/>
      <c r="C9" s="80">
        <v>-33333.333333333336</v>
      </c>
      <c r="D9" s="80">
        <v>-38333.333333333336</v>
      </c>
      <c r="E9" s="80">
        <v>-44083.333333333328</v>
      </c>
      <c r="F9" s="80">
        <v>-50695.833333333336</v>
      </c>
      <c r="G9" s="80">
        <v>-58300.208333333336</v>
      </c>
      <c r="H9" s="80">
        <v>-67045.239583333328</v>
      </c>
      <c r="I9" s="87">
        <v>-77102.025520833326</v>
      </c>
      <c r="J9" s="90" t="s">
        <v>85</v>
      </c>
      <c r="K9" s="90">
        <v>0.59</v>
      </c>
    </row>
    <row r="10" spans="1:11" x14ac:dyDescent="0.2">
      <c r="A10" s="79" t="s">
        <v>81</v>
      </c>
      <c r="B10" s="79"/>
      <c r="C10" s="79">
        <v>-15000</v>
      </c>
      <c r="D10" s="79">
        <v>-15000</v>
      </c>
      <c r="E10" s="79">
        <v>-15000</v>
      </c>
      <c r="F10" s="79">
        <v>-15000</v>
      </c>
      <c r="G10" s="79">
        <v>-15000</v>
      </c>
      <c r="H10" s="79">
        <v>-15000</v>
      </c>
      <c r="I10" s="88">
        <v>-15000</v>
      </c>
      <c r="J10" s="90"/>
      <c r="K10" s="90"/>
    </row>
    <row r="11" spans="1:11" x14ac:dyDescent="0.2">
      <c r="A11" s="79" t="s">
        <v>1</v>
      </c>
      <c r="B11" s="79"/>
      <c r="C11" s="80">
        <v>-148279.33333333334</v>
      </c>
      <c r="D11" s="80">
        <v>-168271.23333333334</v>
      </c>
      <c r="E11" s="80">
        <v>-191261.91833333333</v>
      </c>
      <c r="F11" s="80">
        <v>-217701.20608333335</v>
      </c>
      <c r="G11" s="80">
        <v>-248106.38699583334</v>
      </c>
      <c r="H11" s="80">
        <v>-283072.34504520829</v>
      </c>
      <c r="I11" s="87">
        <v>-323283.19680198957</v>
      </c>
      <c r="J11" s="90"/>
      <c r="K11" s="90"/>
    </row>
    <row r="12" spans="1:11" x14ac:dyDescent="0.2">
      <c r="A12" s="10" t="s">
        <v>7</v>
      </c>
      <c r="B12" s="10"/>
      <c r="C12" s="10"/>
      <c r="D12" s="10"/>
      <c r="E12" s="10"/>
      <c r="F12" s="10"/>
      <c r="G12" s="10"/>
      <c r="H12" s="10"/>
      <c r="I12" s="22"/>
      <c r="J12" s="91" t="s">
        <v>73</v>
      </c>
      <c r="K12" s="90">
        <v>10000</v>
      </c>
    </row>
    <row r="13" spans="1:11" x14ac:dyDescent="0.2">
      <c r="A13" s="11" t="s">
        <v>33</v>
      </c>
      <c r="B13" s="10"/>
      <c r="C13" s="36">
        <v>-1429</v>
      </c>
      <c r="D13" s="36">
        <v>-2449</v>
      </c>
      <c r="E13" s="36">
        <v>-1749</v>
      </c>
      <c r="F13" s="36">
        <v>-1249</v>
      </c>
      <c r="G13" s="36">
        <v>-893</v>
      </c>
      <c r="H13" s="36">
        <v>-892</v>
      </c>
      <c r="I13" s="85">
        <v>-893</v>
      </c>
      <c r="J13" s="91" t="s">
        <v>36</v>
      </c>
      <c r="K13" s="92">
        <v>10000</v>
      </c>
    </row>
    <row r="14" spans="1:11" x14ac:dyDescent="0.2">
      <c r="A14" s="11" t="s">
        <v>8</v>
      </c>
      <c r="B14" s="10"/>
      <c r="C14" s="18">
        <v>-7145</v>
      </c>
      <c r="D14" s="18">
        <v>-12245</v>
      </c>
      <c r="E14" s="18">
        <v>-8745</v>
      </c>
      <c r="F14" s="18">
        <v>-6245</v>
      </c>
      <c r="G14" s="18">
        <v>-4465</v>
      </c>
      <c r="H14" s="18">
        <v>-4460</v>
      </c>
      <c r="I14" s="89">
        <v>-4465</v>
      </c>
      <c r="J14" s="91" t="s">
        <v>40</v>
      </c>
      <c r="K14" s="90">
        <v>10000</v>
      </c>
    </row>
    <row r="15" spans="1:11" x14ac:dyDescent="0.2">
      <c r="A15" s="12" t="s">
        <v>10</v>
      </c>
      <c r="B15" s="10"/>
      <c r="C15" s="18">
        <v>-8574</v>
      </c>
      <c r="D15" s="18">
        <v>-14694</v>
      </c>
      <c r="E15" s="18">
        <v>-10494</v>
      </c>
      <c r="F15" s="18">
        <v>-7494</v>
      </c>
      <c r="G15" s="18">
        <v>-5358</v>
      </c>
      <c r="H15" s="18">
        <v>-5352</v>
      </c>
      <c r="I15" s="89">
        <v>-5358</v>
      </c>
      <c r="J15" s="91" t="s">
        <v>38</v>
      </c>
      <c r="K15" s="92">
        <v>20000</v>
      </c>
    </row>
    <row r="16" spans="1:11" x14ac:dyDescent="0.2">
      <c r="A16" s="13" t="s">
        <v>11</v>
      </c>
      <c r="B16" s="10"/>
      <c r="C16" s="18">
        <v>12546.666666666657</v>
      </c>
      <c r="D16" s="18">
        <v>11844.766666666663</v>
      </c>
      <c r="E16" s="18">
        <v>22275.581666666665</v>
      </c>
      <c r="F16" s="18">
        <v>32441.018916666653</v>
      </c>
      <c r="G16" s="18">
        <v>42817.271754166664</v>
      </c>
      <c r="H16" s="18">
        <v>52299.562517291692</v>
      </c>
      <c r="I16" s="89">
        <v>63191.296894885425</v>
      </c>
      <c r="J16" s="91" t="s">
        <v>41</v>
      </c>
      <c r="K16" s="90">
        <f>SUM(K12:K15)</f>
        <v>50000</v>
      </c>
    </row>
    <row r="17" spans="1:11" x14ac:dyDescent="0.2">
      <c r="A17" s="10" t="s">
        <v>69</v>
      </c>
      <c r="B17" s="10"/>
      <c r="C17" s="36">
        <v>-1881.9999999999984</v>
      </c>
      <c r="D17" s="36">
        <v>-1776.7149999999995</v>
      </c>
      <c r="E17" s="36">
        <v>-3341.3372499999996</v>
      </c>
      <c r="F17" s="36">
        <v>-4866.152837499998</v>
      </c>
      <c r="G17" s="36">
        <v>-6422.5907631249993</v>
      </c>
      <c r="H17" s="36">
        <v>-7844.9343775937532</v>
      </c>
      <c r="I17" s="85">
        <v>-9478.6945342328127</v>
      </c>
      <c r="J17" s="90"/>
      <c r="K17" s="90"/>
    </row>
    <row r="18" spans="1:11" x14ac:dyDescent="0.2">
      <c r="A18" s="13" t="s">
        <v>12</v>
      </c>
      <c r="B18" s="10"/>
      <c r="C18" s="18">
        <v>10664.666666666659</v>
      </c>
      <c r="D18" s="18">
        <v>10068.051666666663</v>
      </c>
      <c r="E18" s="18">
        <v>18934.244416666665</v>
      </c>
      <c r="F18" s="18">
        <v>27574.866079166655</v>
      </c>
      <c r="G18" s="18">
        <v>36394.680991041663</v>
      </c>
      <c r="H18" s="18">
        <v>44454.628139697939</v>
      </c>
      <c r="I18" s="89">
        <v>53712.602360652614</v>
      </c>
      <c r="J18" s="91"/>
      <c r="K18" s="90"/>
    </row>
    <row r="19" spans="1:11" x14ac:dyDescent="0.2">
      <c r="A19" s="1" t="s">
        <v>2</v>
      </c>
      <c r="B19" s="2">
        <v>0</v>
      </c>
      <c r="C19" s="2">
        <v>1</v>
      </c>
      <c r="D19" s="2">
        <v>2</v>
      </c>
      <c r="E19" s="2">
        <v>3</v>
      </c>
      <c r="F19" s="3">
        <v>4</v>
      </c>
      <c r="G19" s="2">
        <v>5</v>
      </c>
      <c r="H19" s="2">
        <v>6</v>
      </c>
      <c r="I19" s="2">
        <v>7</v>
      </c>
      <c r="J19" s="91" t="s">
        <v>70</v>
      </c>
      <c r="K19" s="90"/>
    </row>
    <row r="20" spans="1:11" x14ac:dyDescent="0.2">
      <c r="A20" s="15" t="s">
        <v>42</v>
      </c>
      <c r="B20" s="16"/>
      <c r="C20" s="16"/>
      <c r="D20" s="16"/>
      <c r="E20" s="16"/>
      <c r="F20" s="17"/>
      <c r="G20" s="8"/>
      <c r="H20" s="8"/>
      <c r="I20" s="8"/>
      <c r="J20" s="90"/>
      <c r="K20" s="90"/>
    </row>
    <row r="21" spans="1:11" x14ac:dyDescent="0.2">
      <c r="A21" s="10"/>
      <c r="B21" s="10"/>
      <c r="C21" s="10"/>
      <c r="D21" s="10"/>
      <c r="E21" s="10"/>
      <c r="F21" s="10"/>
      <c r="G21" s="10"/>
      <c r="H21" s="10"/>
      <c r="I21" s="22"/>
      <c r="J21" s="90" t="s">
        <v>79</v>
      </c>
      <c r="K21" s="90">
        <v>0.6</v>
      </c>
    </row>
    <row r="22" spans="1:11" x14ac:dyDescent="0.2">
      <c r="A22" s="10" t="s">
        <v>13</v>
      </c>
      <c r="B22" s="10">
        <f>(-K25*12)/2</f>
        <v>-120000</v>
      </c>
      <c r="C22" s="36">
        <f>B22+(B22*K6)</f>
        <v>-120000</v>
      </c>
      <c r="D22" s="36">
        <f>C22+(C22*$K$7)</f>
        <v>-120000</v>
      </c>
      <c r="E22" s="36">
        <f t="shared" ref="E22:H22" si="0">D22+(D22*$K$7)</f>
        <v>-120000</v>
      </c>
      <c r="F22" s="36">
        <f t="shared" si="0"/>
        <v>-120000</v>
      </c>
      <c r="G22" s="36">
        <f t="shared" si="0"/>
        <v>-120000</v>
      </c>
      <c r="H22" s="36">
        <f t="shared" si="0"/>
        <v>-120000</v>
      </c>
      <c r="I22" s="85">
        <v>0</v>
      </c>
      <c r="J22" s="90" t="s">
        <v>80</v>
      </c>
      <c r="K22" s="90">
        <v>1</v>
      </c>
    </row>
    <row r="23" spans="1:11" x14ac:dyDescent="0.2">
      <c r="A23" s="10" t="s">
        <v>14</v>
      </c>
      <c r="B23" s="10"/>
      <c r="C23" s="10"/>
      <c r="D23" s="10"/>
      <c r="E23" s="10"/>
      <c r="F23" s="10"/>
      <c r="G23" s="10"/>
      <c r="H23" s="10"/>
      <c r="I23" s="22"/>
      <c r="J23" s="90" t="s">
        <v>82</v>
      </c>
      <c r="K23" s="90">
        <v>1</v>
      </c>
    </row>
    <row r="24" spans="1:11" x14ac:dyDescent="0.2">
      <c r="A24" s="11" t="s">
        <v>33</v>
      </c>
      <c r="B24" s="10">
        <v>10000</v>
      </c>
      <c r="C24" s="36">
        <f t="shared" ref="C24:I24" si="1">B24+C12</f>
        <v>10000</v>
      </c>
      <c r="D24" s="36">
        <f t="shared" si="1"/>
        <v>10000</v>
      </c>
      <c r="E24" s="10">
        <f t="shared" si="1"/>
        <v>10000</v>
      </c>
      <c r="F24" s="36">
        <f t="shared" si="1"/>
        <v>10000</v>
      </c>
      <c r="G24" s="36">
        <f t="shared" si="1"/>
        <v>10000</v>
      </c>
      <c r="H24" s="10">
        <f t="shared" si="1"/>
        <v>10000</v>
      </c>
      <c r="I24" s="85">
        <f t="shared" si="1"/>
        <v>10000</v>
      </c>
      <c r="J24" s="90" t="s">
        <v>83</v>
      </c>
      <c r="K24" s="90">
        <v>15000</v>
      </c>
    </row>
    <row r="25" spans="1:11" x14ac:dyDescent="0.2">
      <c r="A25" s="11" t="s">
        <v>8</v>
      </c>
      <c r="B25" s="18">
        <v>0</v>
      </c>
      <c r="C25" s="18">
        <v>-1429</v>
      </c>
      <c r="D25" s="36">
        <v>-3878</v>
      </c>
      <c r="E25" s="36">
        <v>-5627</v>
      </c>
      <c r="F25" s="36">
        <v>-6876</v>
      </c>
      <c r="G25" s="36">
        <v>-7769</v>
      </c>
      <c r="H25" s="36">
        <v>-8661</v>
      </c>
      <c r="I25" s="85">
        <v>-9554</v>
      </c>
      <c r="J25" s="90" t="s">
        <v>86</v>
      </c>
      <c r="K25" s="90">
        <v>20000</v>
      </c>
    </row>
    <row r="26" spans="1:11" x14ac:dyDescent="0.2">
      <c r="A26" s="1" t="s">
        <v>2</v>
      </c>
      <c r="B26" s="2">
        <v>0</v>
      </c>
      <c r="C26" s="2">
        <v>1</v>
      </c>
      <c r="D26" s="2">
        <v>2</v>
      </c>
      <c r="E26" s="2">
        <v>3</v>
      </c>
      <c r="F26" s="3">
        <v>4</v>
      </c>
      <c r="G26" s="2">
        <v>5</v>
      </c>
      <c r="H26" s="2">
        <v>6</v>
      </c>
      <c r="I26" s="3">
        <v>7</v>
      </c>
    </row>
    <row r="27" spans="1:11" x14ac:dyDescent="0.2">
      <c r="A27" s="15" t="s">
        <v>20</v>
      </c>
      <c r="B27" s="16"/>
      <c r="C27" s="16"/>
      <c r="D27" s="16"/>
      <c r="E27" s="16"/>
      <c r="F27" s="17"/>
      <c r="G27" s="8"/>
      <c r="H27" s="8"/>
      <c r="I27" s="8"/>
    </row>
    <row r="28" spans="1:11" x14ac:dyDescent="0.2">
      <c r="A28" s="10" t="s">
        <v>21</v>
      </c>
      <c r="B28" s="10"/>
      <c r="C28" s="18">
        <v>12546.666666666657</v>
      </c>
      <c r="D28" s="36">
        <v>11844.766666666663</v>
      </c>
      <c r="E28" s="36">
        <v>22275.581666666665</v>
      </c>
      <c r="F28" s="36">
        <v>32441.018916666653</v>
      </c>
      <c r="G28" s="36">
        <v>42817.271754166664</v>
      </c>
      <c r="H28" s="36">
        <v>52299.562517291692</v>
      </c>
      <c r="I28" s="36">
        <v>63191.296894885425</v>
      </c>
    </row>
    <row r="29" spans="1:11" x14ac:dyDescent="0.2">
      <c r="A29" s="13" t="s">
        <v>22</v>
      </c>
      <c r="B29" s="10"/>
      <c r="C29" s="18">
        <v>8574</v>
      </c>
      <c r="D29" s="18">
        <v>14694</v>
      </c>
      <c r="E29" s="18">
        <v>10494</v>
      </c>
      <c r="F29" s="18">
        <v>7494</v>
      </c>
      <c r="G29" s="18">
        <v>5358</v>
      </c>
      <c r="H29" s="18">
        <v>5352</v>
      </c>
      <c r="I29" s="18">
        <v>5358</v>
      </c>
    </row>
    <row r="30" spans="1:11" x14ac:dyDescent="0.2">
      <c r="A30" s="13" t="s">
        <v>23</v>
      </c>
      <c r="B30" s="10"/>
      <c r="C30" s="18">
        <v>-1881.9999999999984</v>
      </c>
      <c r="D30" s="18">
        <v>-1776.7149999999995</v>
      </c>
      <c r="E30" s="18">
        <v>-3341.3372499999996</v>
      </c>
      <c r="F30" s="18">
        <v>-4866.152837499998</v>
      </c>
      <c r="G30" s="18">
        <v>-6422.5907631249993</v>
      </c>
      <c r="H30" s="18">
        <v>-7844.9343775937532</v>
      </c>
      <c r="I30" s="18">
        <v>-9478.6945342328127</v>
      </c>
    </row>
    <row r="31" spans="1:11" x14ac:dyDescent="0.2">
      <c r="A31" s="13" t="s">
        <v>24</v>
      </c>
      <c r="B31" s="10"/>
      <c r="C31" s="18">
        <v>19238.666666666657</v>
      </c>
      <c r="D31" s="18">
        <v>24762.051666666663</v>
      </c>
      <c r="E31" s="18">
        <v>29428.244416666665</v>
      </c>
      <c r="F31" s="18">
        <v>35068.866079166655</v>
      </c>
      <c r="G31" s="18">
        <v>41752.680991041663</v>
      </c>
      <c r="H31" s="18">
        <v>49806.628139697939</v>
      </c>
      <c r="I31" s="18">
        <v>59070.602360652614</v>
      </c>
    </row>
    <row r="32" spans="1:11" x14ac:dyDescent="0.2">
      <c r="A32" s="13" t="s">
        <v>25</v>
      </c>
      <c r="B32" s="18">
        <v>-120000</v>
      </c>
      <c r="C32" s="18">
        <v>-18000</v>
      </c>
      <c r="D32" s="18">
        <v>-20700</v>
      </c>
      <c r="E32" s="18">
        <v>-23805</v>
      </c>
      <c r="F32" s="18">
        <v>-27375.75</v>
      </c>
      <c r="G32" s="18">
        <v>-31482.112499999988</v>
      </c>
      <c r="H32" s="18">
        <v>-36204.429375000007</v>
      </c>
      <c r="I32" s="18">
        <v>277567.291875</v>
      </c>
    </row>
    <row r="33" spans="1:9" x14ac:dyDescent="0.2">
      <c r="A33" s="13" t="s">
        <v>26</v>
      </c>
      <c r="B33" s="28"/>
      <c r="C33" s="18"/>
      <c r="D33" s="18"/>
      <c r="E33" s="18"/>
      <c r="F33" s="18"/>
      <c r="G33" s="18"/>
      <c r="H33" s="18"/>
      <c r="I33" s="18"/>
    </row>
    <row r="34" spans="1:9" x14ac:dyDescent="0.2">
      <c r="A34" s="11" t="s">
        <v>33</v>
      </c>
      <c r="B34" s="18">
        <v>-10000</v>
      </c>
      <c r="C34" s="18"/>
      <c r="D34" s="18"/>
      <c r="E34" s="18"/>
      <c r="F34" s="18"/>
      <c r="G34" s="18"/>
      <c r="H34" s="18"/>
      <c r="I34" s="18">
        <v>4772.3</v>
      </c>
    </row>
    <row r="35" spans="1:9" x14ac:dyDescent="0.2">
      <c r="A35" s="11" t="s">
        <v>43</v>
      </c>
      <c r="B35" s="18">
        <v>-50000</v>
      </c>
      <c r="C35" s="18"/>
      <c r="D35" s="18"/>
      <c r="E35" s="18"/>
      <c r="F35" s="18"/>
      <c r="G35" s="18"/>
      <c r="H35" s="18"/>
      <c r="I35" s="18">
        <v>4861.5</v>
      </c>
    </row>
    <row r="36" spans="1:9" x14ac:dyDescent="0.2">
      <c r="A36" s="29" t="s">
        <v>27</v>
      </c>
      <c r="B36" s="30"/>
      <c r="C36" s="30"/>
      <c r="D36" s="30"/>
      <c r="E36" s="30"/>
      <c r="F36" s="30"/>
      <c r="G36" s="30"/>
      <c r="H36" s="30"/>
      <c r="I36" s="30"/>
    </row>
    <row r="37" spans="1:9" x14ac:dyDescent="0.2">
      <c r="A37" s="4"/>
      <c r="B37" s="4">
        <v>-180000</v>
      </c>
      <c r="C37" s="32">
        <v>1238.666666666657</v>
      </c>
      <c r="D37" s="32">
        <v>4062.0516666666626</v>
      </c>
      <c r="E37" s="32">
        <v>5623.2444166666646</v>
      </c>
      <c r="F37" s="40">
        <v>7693.1160791666553</v>
      </c>
      <c r="G37" s="40">
        <v>10270.568491041675</v>
      </c>
      <c r="H37" s="40">
        <v>13602.198764697932</v>
      </c>
      <c r="I37" s="40">
        <v>346271.69423565263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Analysis Yogurt</vt:lpstr>
      <vt:lpstr>Financial Analysis NH Milk</vt:lpstr>
      <vt:lpstr>Process Capacity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JJ</cp:lastModifiedBy>
  <dcterms:created xsi:type="dcterms:W3CDTF">2015-02-15T21:47:46Z</dcterms:created>
  <dcterms:modified xsi:type="dcterms:W3CDTF">2015-07-31T15:39:23Z</dcterms:modified>
</cp:coreProperties>
</file>